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9\August\"/>
    </mc:Choice>
  </mc:AlternateContent>
  <xr:revisionPtr revIDLastSave="0" documentId="8_{A33C40AD-41CE-4385-83A8-75F07DBEBC56}" xr6:coauthVersionLast="41" xr6:coauthVersionMax="41" xr10:uidLastSave="{00000000-0000-0000-0000-000000000000}"/>
  <bookViews>
    <workbookView xWindow="-19310" yWindow="-110" windowWidth="19420" windowHeight="10420" tabRatio="758" xr2:uid="{00000000-000D-0000-FFFF-FFFF00000000}"/>
  </bookViews>
  <sheets>
    <sheet name="Exh-Subsidy MA " sheetId="49" r:id="rId1"/>
    <sheet name="cal" sheetId="50" state="hidden" r:id="rId2"/>
  </sheets>
  <definedNames>
    <definedName name="_xlnm._FilterDatabase" localSheetId="0" hidden="1">'Exh-Subsidy MA '!$A$10:$AJ$35</definedName>
    <definedName name="Activity_Code">#REF!</definedName>
    <definedName name="Client_Deliverable">#REF!</definedName>
    <definedName name="Client_ID">#REF!</definedName>
    <definedName name="Client_Name">#REF!</definedName>
    <definedName name="deliverabePeriod">#REF!</definedName>
    <definedName name="Filename">#REF!</definedName>
    <definedName name="Notes_Table_Start">#REF!</definedName>
    <definedName name="PR_Aon_Location">#REF!</definedName>
    <definedName name="PR_Client_Location">#REF!</definedName>
    <definedName name="PR_CompletionDate">#REF!</definedName>
    <definedName name="PR_Considerations" localSheetId="1">#REF!</definedName>
    <definedName name="PR_Considerations" localSheetId="0">#REF!</definedName>
    <definedName name="PR_Considerations">#REF!</definedName>
    <definedName name="PR_Project_ID">#REF!</definedName>
    <definedName name="PR_Status">#REF!</definedName>
    <definedName name="Preparer_Email_1" localSheetId="1">#REF!</definedName>
    <definedName name="Preparer_Email_1" localSheetId="0">#REF!</definedName>
    <definedName name="Preparer_Email_1">#REF!</definedName>
    <definedName name="Preparer_Email_2" localSheetId="1">#REF!</definedName>
    <definedName name="Preparer_Email_2" localSheetId="0">#REF!</definedName>
    <definedName name="Preparer_Email_2">#REF!</definedName>
    <definedName name="Preparer_Name_1" localSheetId="1">#REF!</definedName>
    <definedName name="Preparer_Name_1" localSheetId="0">#REF!</definedName>
    <definedName name="Preparer_Name_1">#REF!</definedName>
    <definedName name="Preparer_Name_2" localSheetId="1">#REF!</definedName>
    <definedName name="Preparer_Name_2" localSheetId="0">#REF!</definedName>
    <definedName name="Preparer_Name_2">#REF!</definedName>
    <definedName name="Preparer_Name_And_Email_1">#REF!</definedName>
    <definedName name="Preparer_Name_And_Email_2">#REF!</definedName>
    <definedName name="_xlnm.Print_Area" localSheetId="0">'Exh-Subsidy MA '!$A$1:$AJ$35</definedName>
    <definedName name="_xlnm.Print_Titles" localSheetId="0">'Exh-Subsidy MA '!$A:$D,'Exh-Subsidy MA '!$1:$10</definedName>
    <definedName name="Project_Code">#REF!</definedName>
    <definedName name="Project_Descr">#REF!</definedName>
    <definedName name="Project_Name">#REF!</definedName>
    <definedName name="Reviewer_Approval_1">#REF!</definedName>
    <definedName name="Reviewer_Approval_2">#REF!</definedName>
    <definedName name="Reviewer_Approval_3">#REF!</definedName>
    <definedName name="Reviewer_Approval_4">#REF!</definedName>
    <definedName name="Reviewer_Email_1" localSheetId="1">#REF!</definedName>
    <definedName name="Reviewer_Email_1" localSheetId="0">#REF!</definedName>
    <definedName name="Reviewer_Email_1">#REF!</definedName>
    <definedName name="Reviewer_Email_2" localSheetId="1">#REF!</definedName>
    <definedName name="Reviewer_Email_2" localSheetId="0">#REF!</definedName>
    <definedName name="Reviewer_Email_2">#REF!</definedName>
    <definedName name="Reviewer_Email_3" localSheetId="1">#REF!</definedName>
    <definedName name="Reviewer_Email_3" localSheetId="0">#REF!</definedName>
    <definedName name="Reviewer_Email_3">#REF!</definedName>
    <definedName name="Reviewer_Email_4" localSheetId="1">#REF!</definedName>
    <definedName name="Reviewer_Email_4" localSheetId="0">#REF!</definedName>
    <definedName name="Reviewer_Email_4">#REF!</definedName>
    <definedName name="Reviewer_Name_1" localSheetId="1">#REF!</definedName>
    <definedName name="Reviewer_Name_1" localSheetId="0">#REF!</definedName>
    <definedName name="Reviewer_Name_1">#REF!</definedName>
    <definedName name="Reviewer_Name_2" localSheetId="1">#REF!</definedName>
    <definedName name="Reviewer_Name_2" localSheetId="0">#REF!</definedName>
    <definedName name="Reviewer_Name_2">#REF!</definedName>
    <definedName name="Reviewer_Name_3" localSheetId="1">#REF!</definedName>
    <definedName name="Reviewer_Name_3" localSheetId="0">#REF!</definedName>
    <definedName name="Reviewer_Name_3">#REF!</definedName>
    <definedName name="Reviewer_Name_4" localSheetId="1">#REF!</definedName>
    <definedName name="Reviewer_Name_4" localSheetId="0">#REF!</definedName>
    <definedName name="Reviewer_Name_4">#REF!</definedName>
    <definedName name="Reviewer_Name_And_Email_1">#REF!</definedName>
    <definedName name="Reviewer_Name_And_Email_2">#REF!</definedName>
    <definedName name="Reviewer_Name_And_Email_3">#REF!</definedName>
    <definedName name="Reviewer_Name_And_Email_4">#REF!</definedName>
    <definedName name="Reviewer_Type_1">#REF!</definedName>
    <definedName name="Reviewer_Type_2">#REF!</definedName>
    <definedName name="Reviewer_Type_3">#REF!</definedName>
    <definedName name="Reviewer_Type_4">#REF!</definedName>
    <definedName name="Rule" localSheetId="1">#REF!</definedName>
    <definedName name="Rule" localSheetId="0">#REF!</definedName>
    <definedName name="Rule">#REF!</definedName>
    <definedName name="start_TOC">#REF!</definedName>
    <definedName name="Ti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50" l="1"/>
  <c r="H117" i="50"/>
  <c r="I117" i="50" s="1"/>
  <c r="Y117" i="50"/>
  <c r="L117" i="50"/>
  <c r="M117" i="50" s="1"/>
  <c r="P117" i="50"/>
  <c r="Q117" i="50" s="1"/>
  <c r="AG117" i="50"/>
  <c r="W117" i="50" l="1"/>
  <c r="J117" i="50"/>
  <c r="K117" i="50" s="1"/>
  <c r="AA117" i="50"/>
  <c r="T117" i="50"/>
  <c r="AI117" i="50"/>
  <c r="AC117" i="50"/>
  <c r="N117" i="50"/>
  <c r="AE117" i="50"/>
  <c r="R117" i="50"/>
  <c r="C30" i="50"/>
  <c r="C31" i="50"/>
  <c r="C32" i="50"/>
  <c r="C33" i="50"/>
  <c r="C34" i="50"/>
  <c r="C29" i="50"/>
  <c r="H29" i="50"/>
  <c r="F29" i="50"/>
  <c r="D87" i="50"/>
  <c r="E87" i="50" s="1"/>
  <c r="F87" i="50" s="1"/>
  <c r="G87" i="50" s="1"/>
  <c r="H87" i="50" s="1"/>
  <c r="I87" i="50" s="1"/>
  <c r="A84" i="50"/>
  <c r="A83" i="50"/>
  <c r="I49" i="50"/>
  <c r="I50" i="50" s="1"/>
  <c r="I51" i="50" s="1"/>
  <c r="I52" i="50" s="1"/>
  <c r="I53" i="50" s="1"/>
  <c r="I54" i="50" s="1"/>
  <c r="I55" i="50" s="1"/>
  <c r="I56" i="50" s="1"/>
  <c r="I57" i="50" s="1"/>
  <c r="I58" i="50" s="1"/>
  <c r="I59" i="50" s="1"/>
  <c r="I60" i="50" s="1"/>
  <c r="I61" i="50" s="1"/>
  <c r="I62" i="50" s="1"/>
  <c r="I63" i="50" s="1"/>
  <c r="I64" i="50" s="1"/>
  <c r="I65" i="50" s="1"/>
  <c r="I66" i="50" s="1"/>
  <c r="I67" i="50" s="1"/>
  <c r="I68" i="50" s="1"/>
  <c r="H49" i="50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C49" i="50"/>
  <c r="C50" i="50" s="1"/>
  <c r="C51" i="50" s="1"/>
  <c r="C52" i="50" s="1"/>
  <c r="C53" i="50" s="1"/>
  <c r="C54" i="50" s="1"/>
  <c r="C55" i="50" s="1"/>
  <c r="C56" i="50" s="1"/>
  <c r="C57" i="50" s="1"/>
  <c r="C58" i="50" s="1"/>
  <c r="C59" i="50" s="1"/>
  <c r="C60" i="50" s="1"/>
  <c r="C61" i="50" s="1"/>
  <c r="C62" i="50" s="1"/>
  <c r="C63" i="50" s="1"/>
  <c r="C64" i="50" s="1"/>
  <c r="C65" i="50" s="1"/>
  <c r="C66" i="50" s="1"/>
  <c r="C67" i="50" s="1"/>
  <c r="C68" i="50" s="1"/>
  <c r="B49" i="50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A49" i="50"/>
  <c r="T49" i="50" s="1"/>
  <c r="T48" i="50"/>
  <c r="T47" i="50"/>
  <c r="J39" i="50"/>
  <c r="J38" i="50"/>
  <c r="J37" i="50"/>
  <c r="A37" i="50"/>
  <c r="J36" i="50"/>
  <c r="A36" i="50"/>
  <c r="J35" i="50"/>
  <c r="J34" i="50"/>
  <c r="J33" i="50"/>
  <c r="J32" i="50"/>
  <c r="J31" i="50"/>
  <c r="J30" i="50"/>
  <c r="J29" i="50"/>
  <c r="E23" i="50"/>
  <c r="B23" i="50"/>
  <c r="E22" i="50"/>
  <c r="B22" i="50"/>
  <c r="E21" i="50"/>
  <c r="C37" i="50"/>
  <c r="C38" i="50"/>
  <c r="A4" i="49"/>
  <c r="AJ10" i="49"/>
  <c r="AI10" i="49"/>
  <c r="AH10" i="49"/>
  <c r="AG10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H35" i="50" l="1"/>
  <c r="H34" i="50"/>
  <c r="H33" i="50"/>
  <c r="H32" i="50"/>
  <c r="H31" i="50"/>
  <c r="H30" i="50"/>
  <c r="D86" i="50"/>
  <c r="F86" i="50" s="1"/>
  <c r="H86" i="50" s="1"/>
  <c r="D39" i="50"/>
  <c r="D84" i="50"/>
  <c r="F84" i="50" s="1"/>
  <c r="H84" i="50" s="1"/>
  <c r="D37" i="50"/>
  <c r="H37" i="50" s="1"/>
  <c r="L58" i="50"/>
  <c r="D85" i="50"/>
  <c r="F85" i="50" s="1"/>
  <c r="H85" i="50" s="1"/>
  <c r="D38" i="50"/>
  <c r="F38" i="50" s="1"/>
  <c r="D83" i="50"/>
  <c r="D36" i="50"/>
  <c r="L57" i="50"/>
  <c r="J82" i="50"/>
  <c r="I82" i="50" s="1"/>
  <c r="F35" i="50"/>
  <c r="F34" i="50"/>
  <c r="F33" i="50"/>
  <c r="F32" i="50"/>
  <c r="F31" i="50"/>
  <c r="F30" i="50"/>
  <c r="D76" i="50"/>
  <c r="D29" i="50"/>
  <c r="F37" i="50"/>
  <c r="D82" i="50"/>
  <c r="F82" i="50" s="1"/>
  <c r="D35" i="50"/>
  <c r="D81" i="50"/>
  <c r="D34" i="50"/>
  <c r="D80" i="50"/>
  <c r="D33" i="50"/>
  <c r="D79" i="50"/>
  <c r="D32" i="50"/>
  <c r="D78" i="50"/>
  <c r="D31" i="50"/>
  <c r="L55" i="50" s="1"/>
  <c r="D77" i="50"/>
  <c r="D30" i="50"/>
  <c r="H76" i="50"/>
  <c r="H82" i="50"/>
  <c r="H81" i="50"/>
  <c r="H80" i="50"/>
  <c r="H79" i="50"/>
  <c r="H78" i="50"/>
  <c r="H77" i="50"/>
  <c r="F81" i="50"/>
  <c r="F80" i="50"/>
  <c r="F79" i="50"/>
  <c r="F78" i="50"/>
  <c r="F77" i="50"/>
  <c r="F83" i="50"/>
  <c r="H83" i="50" s="1"/>
  <c r="F76" i="50"/>
  <c r="U117" i="50"/>
  <c r="S117" i="50"/>
  <c r="O117" i="50"/>
  <c r="G35" i="50"/>
  <c r="N56" i="50" s="1"/>
  <c r="E34" i="50"/>
  <c r="E30" i="50"/>
  <c r="G31" i="50"/>
  <c r="N55" i="50" s="1"/>
  <c r="G34" i="50"/>
  <c r="G33" i="50"/>
  <c r="G32" i="50"/>
  <c r="G30" i="50"/>
  <c r="C35" i="50"/>
  <c r="E33" i="50"/>
  <c r="E32" i="50"/>
  <c r="E35" i="50"/>
  <c r="M56" i="50" s="1"/>
  <c r="E31" i="50"/>
  <c r="M55" i="50" s="1"/>
  <c r="A50" i="50"/>
  <c r="T50" i="50" s="1"/>
  <c r="M58" i="50"/>
  <c r="N58" i="50" s="1"/>
  <c r="C39" i="50"/>
  <c r="G29" i="50"/>
  <c r="E38" i="50"/>
  <c r="G38" i="50"/>
  <c r="E29" i="50"/>
  <c r="G37" i="50"/>
  <c r="E37" i="50"/>
  <c r="C36" i="50"/>
  <c r="AI120" i="50" l="1"/>
  <c r="T120" i="50"/>
  <c r="U120" i="50"/>
  <c r="AH120" i="50"/>
  <c r="H38" i="50"/>
  <c r="L56" i="50"/>
  <c r="F36" i="50"/>
  <c r="H36" i="50"/>
  <c r="E39" i="50"/>
  <c r="M57" i="50"/>
  <c r="N57" i="50" s="1"/>
  <c r="G39" i="50"/>
  <c r="A51" i="50"/>
  <c r="T51" i="50" s="1"/>
  <c r="G36" i="50"/>
  <c r="E36" i="50"/>
  <c r="F39" i="50" l="1"/>
  <c r="H39" i="50"/>
  <c r="A52" i="50"/>
  <c r="T52" i="50" s="1"/>
  <c r="A53" i="50" l="1"/>
  <c r="T53" i="50" s="1"/>
  <c r="A54" i="50" l="1"/>
  <c r="A55" i="50" s="1"/>
  <c r="T54" i="50" l="1"/>
  <c r="A56" i="50"/>
  <c r="T55" i="50"/>
  <c r="T56" i="50" l="1"/>
  <c r="A57" i="50"/>
  <c r="G78" i="50" l="1"/>
  <c r="G82" i="50"/>
  <c r="E86" i="50"/>
  <c r="C86" i="50"/>
  <c r="C82" i="50"/>
  <c r="T118" i="50" s="1"/>
  <c r="E78" i="50"/>
  <c r="I78" i="50" s="1"/>
  <c r="C85" i="50"/>
  <c r="E85" i="50"/>
  <c r="I85" i="50" s="1"/>
  <c r="E82" i="50"/>
  <c r="C78" i="50"/>
  <c r="A58" i="50"/>
  <c r="T57" i="50"/>
  <c r="F123" i="50" l="1"/>
  <c r="V123" i="50" s="1"/>
  <c r="X123" i="50" s="1"/>
  <c r="Z123" i="50" s="1"/>
  <c r="AB123" i="50" s="1"/>
  <c r="AD123" i="50" s="1"/>
  <c r="AF123" i="50" s="1"/>
  <c r="AH123" i="50" s="1"/>
  <c r="I86" i="50"/>
  <c r="AA120" i="50"/>
  <c r="L120" i="50"/>
  <c r="M120" i="50"/>
  <c r="Z120" i="50"/>
  <c r="C84" i="50"/>
  <c r="D122" i="50" s="1"/>
  <c r="F122" i="50"/>
  <c r="C83" i="50"/>
  <c r="E122" i="50" s="1"/>
  <c r="G122" i="50"/>
  <c r="L118" i="50"/>
  <c r="M118" i="50"/>
  <c r="Z118" i="50"/>
  <c r="AA118" i="50"/>
  <c r="Z119" i="50"/>
  <c r="AA119" i="50"/>
  <c r="L119" i="50"/>
  <c r="M119" i="50"/>
  <c r="T121" i="50"/>
  <c r="U121" i="50"/>
  <c r="AH121" i="50"/>
  <c r="AI121" i="50"/>
  <c r="E83" i="50"/>
  <c r="G123" i="50"/>
  <c r="W123" i="50" s="1"/>
  <c r="Y123" i="50" s="1"/>
  <c r="AA123" i="50" s="1"/>
  <c r="AC123" i="50" s="1"/>
  <c r="AE123" i="50" s="1"/>
  <c r="AG123" i="50" s="1"/>
  <c r="AI123" i="50" s="1"/>
  <c r="AH119" i="50"/>
  <c r="AI119" i="50"/>
  <c r="T119" i="50"/>
  <c r="U119" i="50"/>
  <c r="U118" i="50"/>
  <c r="AH118" i="50"/>
  <c r="AI118" i="50"/>
  <c r="L121" i="50"/>
  <c r="M121" i="50"/>
  <c r="Z121" i="50"/>
  <c r="AA121" i="50"/>
  <c r="G81" i="50"/>
  <c r="G76" i="50"/>
  <c r="G79" i="50"/>
  <c r="G77" i="50"/>
  <c r="G80" i="50"/>
  <c r="E84" i="50"/>
  <c r="I84" i="50" s="1"/>
  <c r="G86" i="50"/>
  <c r="G83" i="50"/>
  <c r="G85" i="50"/>
  <c r="C77" i="50"/>
  <c r="C81" i="50"/>
  <c r="C79" i="50"/>
  <c r="C76" i="50"/>
  <c r="C80" i="50"/>
  <c r="E77" i="50"/>
  <c r="I77" i="50" s="1"/>
  <c r="E79" i="50"/>
  <c r="I79" i="50" s="1"/>
  <c r="E81" i="50"/>
  <c r="I81" i="50" s="1"/>
  <c r="E80" i="50"/>
  <c r="I80" i="50" s="1"/>
  <c r="E76" i="50"/>
  <c r="I76" i="50" s="1"/>
  <c r="T58" i="50"/>
  <c r="A59" i="50"/>
  <c r="AH115" i="50" l="1"/>
  <c r="AI35" i="49" s="1"/>
  <c r="Z115" i="50"/>
  <c r="AA35" i="49" s="1"/>
  <c r="AI115" i="50"/>
  <c r="AJ35" i="49" s="1"/>
  <c r="AA115" i="50"/>
  <c r="AB35" i="49" s="1"/>
  <c r="E123" i="50"/>
  <c r="I123" i="50" s="1"/>
  <c r="K123" i="50" s="1"/>
  <c r="M123" i="50" s="1"/>
  <c r="O123" i="50" s="1"/>
  <c r="Q123" i="50" s="1"/>
  <c r="S123" i="50" s="1"/>
  <c r="U123" i="50" s="1"/>
  <c r="U115" i="50" s="1"/>
  <c r="V35" i="49" s="1"/>
  <c r="I83" i="50"/>
  <c r="W120" i="50"/>
  <c r="V120" i="50"/>
  <c r="H120" i="50"/>
  <c r="I120" i="50"/>
  <c r="AE120" i="50"/>
  <c r="AD120" i="50"/>
  <c r="P120" i="50"/>
  <c r="Q120" i="50"/>
  <c r="O120" i="50"/>
  <c r="AC120" i="50"/>
  <c r="N120" i="50"/>
  <c r="AB120" i="50"/>
  <c r="K120" i="50"/>
  <c r="J120" i="50"/>
  <c r="X120" i="50"/>
  <c r="Y120" i="50"/>
  <c r="S120" i="50"/>
  <c r="AF120" i="50"/>
  <c r="R120" i="50"/>
  <c r="AG120" i="50"/>
  <c r="I118" i="50"/>
  <c r="V118" i="50"/>
  <c r="H118" i="50"/>
  <c r="W118" i="50"/>
  <c r="I122" i="50"/>
  <c r="E92" i="50"/>
  <c r="F12" i="49" s="1"/>
  <c r="J119" i="50"/>
  <c r="K119" i="50"/>
  <c r="X119" i="50"/>
  <c r="Y119" i="50"/>
  <c r="AD119" i="50"/>
  <c r="AE119" i="50"/>
  <c r="P119" i="50"/>
  <c r="Q119" i="50"/>
  <c r="P118" i="50"/>
  <c r="Q118" i="50"/>
  <c r="AD118" i="50"/>
  <c r="AE118" i="50"/>
  <c r="X118" i="50"/>
  <c r="Y118" i="50"/>
  <c r="J118" i="50"/>
  <c r="K118" i="50"/>
  <c r="G84" i="50"/>
  <c r="D123" i="50"/>
  <c r="H123" i="50" s="1"/>
  <c r="J123" i="50" s="1"/>
  <c r="L123" i="50" s="1"/>
  <c r="N123" i="50" s="1"/>
  <c r="P123" i="50" s="1"/>
  <c r="R123" i="50" s="1"/>
  <c r="T123" i="50" s="1"/>
  <c r="T115" i="50" s="1"/>
  <c r="U35" i="49" s="1"/>
  <c r="V121" i="50"/>
  <c r="I121" i="50"/>
  <c r="W121" i="50"/>
  <c r="H121" i="50"/>
  <c r="AA96" i="50"/>
  <c r="AB16" i="49" s="1"/>
  <c r="AA103" i="50"/>
  <c r="AB23" i="49" s="1"/>
  <c r="AA113" i="50"/>
  <c r="AB33" i="49" s="1"/>
  <c r="AA108" i="50"/>
  <c r="AB28" i="49" s="1"/>
  <c r="G114" i="50"/>
  <c r="H34" i="49" s="1"/>
  <c r="W122" i="50"/>
  <c r="G97" i="50"/>
  <c r="G92" i="50"/>
  <c r="H12" i="49" s="1"/>
  <c r="P121" i="50"/>
  <c r="Q121" i="50"/>
  <c r="AD121" i="50"/>
  <c r="AE121" i="50"/>
  <c r="N119" i="50"/>
  <c r="O119" i="50"/>
  <c r="AB119" i="50"/>
  <c r="AC119" i="50"/>
  <c r="AB118" i="50"/>
  <c r="AC118" i="50"/>
  <c r="N118" i="50"/>
  <c r="O118" i="50"/>
  <c r="X121" i="50"/>
  <c r="Y121" i="50"/>
  <c r="J121" i="50"/>
  <c r="K121" i="50"/>
  <c r="AI96" i="50"/>
  <c r="AJ16" i="49" s="1"/>
  <c r="AI108" i="50"/>
  <c r="AJ28" i="49" s="1"/>
  <c r="AI103" i="50"/>
  <c r="AJ23" i="49" s="1"/>
  <c r="AI113" i="50"/>
  <c r="AJ33" i="49" s="1"/>
  <c r="V122" i="50"/>
  <c r="F114" i="50"/>
  <c r="G34" i="49" s="1"/>
  <c r="F97" i="50"/>
  <c r="F92" i="50"/>
  <c r="G12" i="49" s="1"/>
  <c r="R119" i="50"/>
  <c r="S119" i="50"/>
  <c r="AF119" i="50"/>
  <c r="AG119" i="50"/>
  <c r="AF121" i="50"/>
  <c r="AG121" i="50"/>
  <c r="R121" i="50"/>
  <c r="S121" i="50"/>
  <c r="Z108" i="50"/>
  <c r="AA28" i="49" s="1"/>
  <c r="Z113" i="50"/>
  <c r="AA33" i="49" s="1"/>
  <c r="Z96" i="50"/>
  <c r="AA16" i="49" s="1"/>
  <c r="Z103" i="50"/>
  <c r="AA23" i="49" s="1"/>
  <c r="V119" i="50"/>
  <c r="W119" i="50"/>
  <c r="I119" i="50"/>
  <c r="H119" i="50"/>
  <c r="AF118" i="50"/>
  <c r="AG118" i="50"/>
  <c r="R118" i="50"/>
  <c r="S118" i="50"/>
  <c r="AB121" i="50"/>
  <c r="AC121" i="50"/>
  <c r="N121" i="50"/>
  <c r="O121" i="50"/>
  <c r="AH108" i="50"/>
  <c r="AI28" i="49" s="1"/>
  <c r="AH96" i="50"/>
  <c r="AI16" i="49" s="1"/>
  <c r="AH103" i="50"/>
  <c r="AI23" i="49" s="1"/>
  <c r="AH113" i="50"/>
  <c r="AI33" i="49" s="1"/>
  <c r="H122" i="50"/>
  <c r="D92" i="50"/>
  <c r="E12" i="49" s="1"/>
  <c r="T59" i="50"/>
  <c r="A60" i="50"/>
  <c r="M96" i="50" l="1"/>
  <c r="N16" i="49" s="1"/>
  <c r="L108" i="50"/>
  <c r="M28" i="49" s="1"/>
  <c r="U108" i="50"/>
  <c r="V28" i="49" s="1"/>
  <c r="H95" i="50"/>
  <c r="I15" i="49" s="1"/>
  <c r="R115" i="50"/>
  <c r="S35" i="49" s="1"/>
  <c r="L113" i="50"/>
  <c r="M33" i="49" s="1"/>
  <c r="T113" i="50"/>
  <c r="U33" i="49" s="1"/>
  <c r="AE115" i="50"/>
  <c r="AF35" i="49" s="1"/>
  <c r="AG115" i="50"/>
  <c r="AH35" i="49" s="1"/>
  <c r="I107" i="50"/>
  <c r="J27" i="49" s="1"/>
  <c r="AC115" i="50"/>
  <c r="AD35" i="49" s="1"/>
  <c r="W107" i="50"/>
  <c r="X27" i="49" s="1"/>
  <c r="M108" i="50"/>
  <c r="N28" i="49" s="1"/>
  <c r="U103" i="50"/>
  <c r="V23" i="49" s="1"/>
  <c r="M115" i="50"/>
  <c r="N35" i="49" s="1"/>
  <c r="M103" i="50"/>
  <c r="N23" i="49" s="1"/>
  <c r="U113" i="50"/>
  <c r="V33" i="49" s="1"/>
  <c r="Q115" i="50"/>
  <c r="R35" i="49" s="1"/>
  <c r="E97" i="50"/>
  <c r="E104" i="50" s="1"/>
  <c r="F24" i="49" s="1"/>
  <c r="M113" i="50"/>
  <c r="N33" i="49" s="1"/>
  <c r="U96" i="50"/>
  <c r="V16" i="49" s="1"/>
  <c r="J115" i="50"/>
  <c r="K35" i="49" s="1"/>
  <c r="E114" i="50"/>
  <c r="F34" i="49" s="1"/>
  <c r="H115" i="50"/>
  <c r="I35" i="49" s="1"/>
  <c r="AD115" i="50"/>
  <c r="AE35" i="49" s="1"/>
  <c r="O115" i="50"/>
  <c r="P35" i="49" s="1"/>
  <c r="Y115" i="50"/>
  <c r="Z35" i="49" s="1"/>
  <c r="V115" i="50"/>
  <c r="W35" i="49" s="1"/>
  <c r="T103" i="50"/>
  <c r="U23" i="49" s="1"/>
  <c r="X115" i="50"/>
  <c r="Y35" i="49" s="1"/>
  <c r="AB115" i="50"/>
  <c r="AC35" i="49" s="1"/>
  <c r="H109" i="50"/>
  <c r="I29" i="49" s="1"/>
  <c r="D97" i="50"/>
  <c r="D104" i="50" s="1"/>
  <c r="E24" i="49" s="1"/>
  <c r="L103" i="50"/>
  <c r="M23" i="49" s="1"/>
  <c r="AF115" i="50"/>
  <c r="AG35" i="49" s="1"/>
  <c r="V107" i="50"/>
  <c r="W27" i="49" s="1"/>
  <c r="T108" i="50"/>
  <c r="U28" i="49" s="1"/>
  <c r="T96" i="50"/>
  <c r="U16" i="49" s="1"/>
  <c r="P115" i="50"/>
  <c r="Q35" i="49" s="1"/>
  <c r="I115" i="50"/>
  <c r="J35" i="49" s="1"/>
  <c r="L115" i="50"/>
  <c r="M35" i="49" s="1"/>
  <c r="D114" i="50"/>
  <c r="E34" i="49" s="1"/>
  <c r="L96" i="50"/>
  <c r="M16" i="49" s="1"/>
  <c r="S115" i="50"/>
  <c r="T35" i="49" s="1"/>
  <c r="H107" i="50"/>
  <c r="I27" i="49" s="1"/>
  <c r="N115" i="50"/>
  <c r="O35" i="49" s="1"/>
  <c r="K115" i="50"/>
  <c r="L35" i="49" s="1"/>
  <c r="W115" i="50"/>
  <c r="X35" i="49" s="1"/>
  <c r="AF96" i="50"/>
  <c r="AG16" i="49" s="1"/>
  <c r="AF103" i="50"/>
  <c r="AG23" i="49" s="1"/>
  <c r="AF108" i="50"/>
  <c r="AG28" i="49" s="1"/>
  <c r="AF113" i="50"/>
  <c r="AG33" i="49" s="1"/>
  <c r="N96" i="50"/>
  <c r="O16" i="49" s="1"/>
  <c r="N103" i="50"/>
  <c r="O23" i="49" s="1"/>
  <c r="N113" i="50"/>
  <c r="O33" i="49" s="1"/>
  <c r="N108" i="50"/>
  <c r="O28" i="49" s="1"/>
  <c r="Y108" i="50"/>
  <c r="Z28" i="49" s="1"/>
  <c r="Y113" i="50"/>
  <c r="Z33" i="49" s="1"/>
  <c r="Y96" i="50"/>
  <c r="Z16" i="49" s="1"/>
  <c r="Y103" i="50"/>
  <c r="Z23" i="49" s="1"/>
  <c r="Q108" i="50"/>
  <c r="R28" i="49" s="1"/>
  <c r="Q113" i="50"/>
  <c r="R33" i="49" s="1"/>
  <c r="Q96" i="50"/>
  <c r="R16" i="49" s="1"/>
  <c r="Q103" i="50"/>
  <c r="R23" i="49" s="1"/>
  <c r="W96" i="50"/>
  <c r="X16" i="49" s="1"/>
  <c r="W108" i="50"/>
  <c r="X28" i="49" s="1"/>
  <c r="W103" i="50"/>
  <c r="X23" i="49" s="1"/>
  <c r="W113" i="50"/>
  <c r="X33" i="49" s="1"/>
  <c r="J122" i="50"/>
  <c r="J112" i="50" s="1"/>
  <c r="K32" i="49" s="1"/>
  <c r="H100" i="50"/>
  <c r="I20" i="49" s="1"/>
  <c r="H112" i="50"/>
  <c r="I32" i="49" s="1"/>
  <c r="X96" i="50"/>
  <c r="Y16" i="49" s="1"/>
  <c r="X103" i="50"/>
  <c r="Y23" i="49" s="1"/>
  <c r="X113" i="50"/>
  <c r="Y33" i="49" s="1"/>
  <c r="X108" i="50"/>
  <c r="Y28" i="49" s="1"/>
  <c r="H103" i="50"/>
  <c r="I23" i="49" s="1"/>
  <c r="H113" i="50"/>
  <c r="I33" i="49" s="1"/>
  <c r="H108" i="50"/>
  <c r="I28" i="49" s="1"/>
  <c r="H96" i="50"/>
  <c r="I16" i="49" s="1"/>
  <c r="R108" i="50"/>
  <c r="S28" i="49" s="1"/>
  <c r="R113" i="50"/>
  <c r="S33" i="49" s="1"/>
  <c r="R96" i="50"/>
  <c r="S16" i="49" s="1"/>
  <c r="R103" i="50"/>
  <c r="S23" i="49" s="1"/>
  <c r="I112" i="50"/>
  <c r="J32" i="49" s="1"/>
  <c r="AB113" i="50"/>
  <c r="AC33" i="49" s="1"/>
  <c r="AB108" i="50"/>
  <c r="AC28" i="49" s="1"/>
  <c r="AB96" i="50"/>
  <c r="AC16" i="49" s="1"/>
  <c r="AB103" i="50"/>
  <c r="AC23" i="49" s="1"/>
  <c r="H17" i="49"/>
  <c r="G104" i="50"/>
  <c r="H24" i="49" s="1"/>
  <c r="I100" i="50"/>
  <c r="J20" i="49" s="1"/>
  <c r="I109" i="50"/>
  <c r="J29" i="49" s="1"/>
  <c r="K113" i="50"/>
  <c r="L33" i="49" s="1"/>
  <c r="K108" i="50"/>
  <c r="L28" i="49" s="1"/>
  <c r="K96" i="50"/>
  <c r="L16" i="49" s="1"/>
  <c r="K103" i="50"/>
  <c r="L23" i="49" s="1"/>
  <c r="AE96" i="50"/>
  <c r="AF16" i="49" s="1"/>
  <c r="AE113" i="50"/>
  <c r="AF33" i="49" s="1"/>
  <c r="AE108" i="50"/>
  <c r="AF28" i="49" s="1"/>
  <c r="AE103" i="50"/>
  <c r="AF23" i="49" s="1"/>
  <c r="V108" i="50"/>
  <c r="W28" i="49" s="1"/>
  <c r="V113" i="50"/>
  <c r="W33" i="49" s="1"/>
  <c r="V96" i="50"/>
  <c r="W16" i="49" s="1"/>
  <c r="V103" i="50"/>
  <c r="W23" i="49" s="1"/>
  <c r="S96" i="50"/>
  <c r="T16" i="49" s="1"/>
  <c r="S108" i="50"/>
  <c r="T28" i="49" s="1"/>
  <c r="S103" i="50"/>
  <c r="T23" i="49" s="1"/>
  <c r="S113" i="50"/>
  <c r="T33" i="49" s="1"/>
  <c r="G17" i="49"/>
  <c r="F104" i="50"/>
  <c r="G24" i="49" s="1"/>
  <c r="AC96" i="50"/>
  <c r="AD16" i="49" s="1"/>
  <c r="AC103" i="50"/>
  <c r="AD23" i="49" s="1"/>
  <c r="AC113" i="50"/>
  <c r="AD33" i="49" s="1"/>
  <c r="AC108" i="50"/>
  <c r="AD28" i="49" s="1"/>
  <c r="W100" i="50"/>
  <c r="X20" i="49" s="1"/>
  <c r="W109" i="50"/>
  <c r="X29" i="49" s="1"/>
  <c r="P96" i="50"/>
  <c r="Q16" i="49" s="1"/>
  <c r="P113" i="50"/>
  <c r="Q33" i="49" s="1"/>
  <c r="P103" i="50"/>
  <c r="Q23" i="49" s="1"/>
  <c r="P108" i="50"/>
  <c r="Q28" i="49" s="1"/>
  <c r="I95" i="50"/>
  <c r="J15" i="49" s="1"/>
  <c r="K122" i="50"/>
  <c r="K100" i="50" s="1"/>
  <c r="L20" i="49" s="1"/>
  <c r="AG108" i="50"/>
  <c r="AH28" i="49" s="1"/>
  <c r="AG96" i="50"/>
  <c r="AH16" i="49" s="1"/>
  <c r="AG103" i="50"/>
  <c r="AH23" i="49" s="1"/>
  <c r="AG113" i="50"/>
  <c r="AH33" i="49" s="1"/>
  <c r="X122" i="50"/>
  <c r="X107" i="50" s="1"/>
  <c r="V95" i="50"/>
  <c r="W15" i="49" s="1"/>
  <c r="V100" i="50"/>
  <c r="W20" i="49" s="1"/>
  <c r="V112" i="50"/>
  <c r="W32" i="49" s="1"/>
  <c r="O113" i="50"/>
  <c r="P33" i="49" s="1"/>
  <c r="O108" i="50"/>
  <c r="P28" i="49" s="1"/>
  <c r="O96" i="50"/>
  <c r="P16" i="49" s="1"/>
  <c r="O103" i="50"/>
  <c r="P23" i="49" s="1"/>
  <c r="Y122" i="50"/>
  <c r="W95" i="50"/>
  <c r="X15" i="49" s="1"/>
  <c r="W112" i="50"/>
  <c r="X32" i="49" s="1"/>
  <c r="V109" i="50"/>
  <c r="W29" i="49" s="1"/>
  <c r="J108" i="50"/>
  <c r="K28" i="49" s="1"/>
  <c r="J96" i="50"/>
  <c r="K16" i="49" s="1"/>
  <c r="J103" i="50"/>
  <c r="K23" i="49" s="1"/>
  <c r="J113" i="50"/>
  <c r="K33" i="49" s="1"/>
  <c r="AD108" i="50"/>
  <c r="AE28" i="49" s="1"/>
  <c r="AD96" i="50"/>
  <c r="AE16" i="49" s="1"/>
  <c r="AD103" i="50"/>
  <c r="AE23" i="49" s="1"/>
  <c r="AD113" i="50"/>
  <c r="AE33" i="49" s="1"/>
  <c r="I96" i="50"/>
  <c r="J16" i="49" s="1"/>
  <c r="I103" i="50"/>
  <c r="J23" i="49" s="1"/>
  <c r="I113" i="50"/>
  <c r="J33" i="49" s="1"/>
  <c r="I108" i="50"/>
  <c r="J28" i="49" s="1"/>
  <c r="T60" i="50"/>
  <c r="A61" i="50"/>
  <c r="F17" i="49" l="1"/>
  <c r="E17" i="49"/>
  <c r="K107" i="50"/>
  <c r="L27" i="49" s="1"/>
  <c r="J107" i="50"/>
  <c r="K27" i="49" s="1"/>
  <c r="Y107" i="50"/>
  <c r="Z27" i="49" s="1"/>
  <c r="K109" i="50"/>
  <c r="L29" i="49" s="1"/>
  <c r="Y109" i="50"/>
  <c r="Z29" i="49" s="1"/>
  <c r="Z122" i="50"/>
  <c r="Z107" i="50" s="1"/>
  <c r="X95" i="50"/>
  <c r="Y15" i="49" s="1"/>
  <c r="X112" i="50"/>
  <c r="Y32" i="49" s="1"/>
  <c r="X100" i="50"/>
  <c r="Y20" i="49" s="1"/>
  <c r="J100" i="50"/>
  <c r="K20" i="49" s="1"/>
  <c r="L122" i="50"/>
  <c r="L107" i="50" s="1"/>
  <c r="J95" i="50"/>
  <c r="K15" i="49" s="1"/>
  <c r="J109" i="50"/>
  <c r="K29" i="49" s="1"/>
  <c r="Y27" i="49"/>
  <c r="K95" i="50"/>
  <c r="L15" i="49" s="1"/>
  <c r="M122" i="50"/>
  <c r="M107" i="50" s="1"/>
  <c r="K112" i="50"/>
  <c r="L32" i="49" s="1"/>
  <c r="X109" i="50"/>
  <c r="Y29" i="49" s="1"/>
  <c r="AA122" i="50"/>
  <c r="AA107" i="50" s="1"/>
  <c r="Y100" i="50"/>
  <c r="Z20" i="49" s="1"/>
  <c r="Y95" i="50"/>
  <c r="Z15" i="49" s="1"/>
  <c r="Y112" i="50"/>
  <c r="Z32" i="49" s="1"/>
  <c r="T61" i="50"/>
  <c r="A62" i="50"/>
  <c r="M112" i="50" l="1"/>
  <c r="N32" i="49" s="1"/>
  <c r="M95" i="50"/>
  <c r="N15" i="49" s="1"/>
  <c r="M100" i="50"/>
  <c r="N20" i="49" s="1"/>
  <c r="O122" i="50"/>
  <c r="O107" i="50" s="1"/>
  <c r="M109" i="50"/>
  <c r="N29" i="49" s="1"/>
  <c r="N27" i="49"/>
  <c r="AC122" i="50"/>
  <c r="AC107" i="50" s="1"/>
  <c r="AA95" i="50"/>
  <c r="AB15" i="49" s="1"/>
  <c r="AA112" i="50"/>
  <c r="AB32" i="49" s="1"/>
  <c r="AA109" i="50"/>
  <c r="AB29" i="49" s="1"/>
  <c r="AA100" i="50"/>
  <c r="AB20" i="49" s="1"/>
  <c r="AB27" i="49"/>
  <c r="N122" i="50"/>
  <c r="N107" i="50" s="1"/>
  <c r="L95" i="50"/>
  <c r="M15" i="49" s="1"/>
  <c r="L112" i="50"/>
  <c r="M32" i="49" s="1"/>
  <c r="L100" i="50"/>
  <c r="M20" i="49" s="1"/>
  <c r="L109" i="50"/>
  <c r="M29" i="49" s="1"/>
  <c r="M27" i="49"/>
  <c r="AB122" i="50"/>
  <c r="AB107" i="50" s="1"/>
  <c r="Z112" i="50"/>
  <c r="AA32" i="49" s="1"/>
  <c r="Z100" i="50"/>
  <c r="AA20" i="49" s="1"/>
  <c r="AA27" i="49"/>
  <c r="Z109" i="50"/>
  <c r="AA29" i="49" s="1"/>
  <c r="Z95" i="50"/>
  <c r="AA15" i="49" s="1"/>
  <c r="T62" i="50"/>
  <c r="A63" i="50"/>
  <c r="AD122" i="50" l="1"/>
  <c r="AD107" i="50" s="1"/>
  <c r="AB112" i="50"/>
  <c r="AC32" i="49" s="1"/>
  <c r="AB95" i="50"/>
  <c r="AC15" i="49" s="1"/>
  <c r="AB100" i="50"/>
  <c r="AC20" i="49" s="1"/>
  <c r="AB109" i="50"/>
  <c r="AC29" i="49" s="1"/>
  <c r="AC27" i="49"/>
  <c r="AE122" i="50"/>
  <c r="AE107" i="50" s="1"/>
  <c r="AC100" i="50"/>
  <c r="AD20" i="49" s="1"/>
  <c r="AC112" i="50"/>
  <c r="AD32" i="49" s="1"/>
  <c r="AC95" i="50"/>
  <c r="AD15" i="49" s="1"/>
  <c r="AC109" i="50"/>
  <c r="AD29" i="49" s="1"/>
  <c r="AD27" i="49"/>
  <c r="O95" i="50"/>
  <c r="P15" i="49" s="1"/>
  <c r="O112" i="50"/>
  <c r="P32" i="49" s="1"/>
  <c r="Q122" i="50"/>
  <c r="Q107" i="50" s="1"/>
  <c r="P27" i="49"/>
  <c r="O100" i="50"/>
  <c r="P20" i="49" s="1"/>
  <c r="O109" i="50"/>
  <c r="P29" i="49" s="1"/>
  <c r="N100" i="50"/>
  <c r="O20" i="49" s="1"/>
  <c r="P122" i="50"/>
  <c r="P107" i="50" s="1"/>
  <c r="N95" i="50"/>
  <c r="O15" i="49" s="1"/>
  <c r="N109" i="50"/>
  <c r="O29" i="49" s="1"/>
  <c r="N112" i="50"/>
  <c r="O32" i="49" s="1"/>
  <c r="O27" i="49"/>
  <c r="T63" i="50"/>
  <c r="A64" i="50"/>
  <c r="R122" i="50" l="1"/>
  <c r="R107" i="50" s="1"/>
  <c r="P112" i="50"/>
  <c r="Q32" i="49" s="1"/>
  <c r="P95" i="50"/>
  <c r="Q15" i="49" s="1"/>
  <c r="P100" i="50"/>
  <c r="Q20" i="49" s="1"/>
  <c r="Q27" i="49"/>
  <c r="P109" i="50"/>
  <c r="Q29" i="49" s="1"/>
  <c r="Q95" i="50"/>
  <c r="R15" i="49" s="1"/>
  <c r="Q100" i="50"/>
  <c r="R20" i="49" s="1"/>
  <c r="Q112" i="50"/>
  <c r="R32" i="49" s="1"/>
  <c r="S122" i="50"/>
  <c r="S107" i="50" s="1"/>
  <c r="R27" i="49"/>
  <c r="Q109" i="50"/>
  <c r="R29" i="49" s="1"/>
  <c r="AG122" i="50"/>
  <c r="AG107" i="50" s="1"/>
  <c r="AE112" i="50"/>
  <c r="AF32" i="49" s="1"/>
  <c r="AE95" i="50"/>
  <c r="AF15" i="49" s="1"/>
  <c r="AE100" i="50"/>
  <c r="AF20" i="49" s="1"/>
  <c r="AF27" i="49"/>
  <c r="AE109" i="50"/>
  <c r="AF29" i="49" s="1"/>
  <c r="AF122" i="50"/>
  <c r="AF107" i="50" s="1"/>
  <c r="AD100" i="50"/>
  <c r="AE20" i="49" s="1"/>
  <c r="AD112" i="50"/>
  <c r="AE32" i="49" s="1"/>
  <c r="AD95" i="50"/>
  <c r="AE15" i="49" s="1"/>
  <c r="AE27" i="49"/>
  <c r="AD109" i="50"/>
  <c r="AE29" i="49" s="1"/>
  <c r="T64" i="50"/>
  <c r="A65" i="50"/>
  <c r="AH122" i="50" l="1"/>
  <c r="AH107" i="50" s="1"/>
  <c r="AF95" i="50"/>
  <c r="AG15" i="49" s="1"/>
  <c r="AF112" i="50"/>
  <c r="AG32" i="49" s="1"/>
  <c r="AF100" i="50"/>
  <c r="AG20" i="49" s="1"/>
  <c r="AF109" i="50"/>
  <c r="AG29" i="49" s="1"/>
  <c r="AG27" i="49"/>
  <c r="U122" i="50"/>
  <c r="U107" i="50" s="1"/>
  <c r="S112" i="50"/>
  <c r="T32" i="49" s="1"/>
  <c r="S95" i="50"/>
  <c r="T15" i="49" s="1"/>
  <c r="S100" i="50"/>
  <c r="T20" i="49" s="1"/>
  <c r="S109" i="50"/>
  <c r="T29" i="49" s="1"/>
  <c r="T27" i="49"/>
  <c r="AI122" i="50"/>
  <c r="AI107" i="50" s="1"/>
  <c r="AG100" i="50"/>
  <c r="AH20" i="49" s="1"/>
  <c r="AG112" i="50"/>
  <c r="AH32" i="49" s="1"/>
  <c r="AG95" i="50"/>
  <c r="AH15" i="49" s="1"/>
  <c r="AG109" i="50"/>
  <c r="AH29" i="49" s="1"/>
  <c r="AH27" i="49"/>
  <c r="R100" i="50"/>
  <c r="S20" i="49" s="1"/>
  <c r="T122" i="50"/>
  <c r="T107" i="50" s="1"/>
  <c r="R112" i="50"/>
  <c r="S32" i="49" s="1"/>
  <c r="R109" i="50"/>
  <c r="S29" i="49" s="1"/>
  <c r="R95" i="50"/>
  <c r="S15" i="49" s="1"/>
  <c r="S27" i="49"/>
  <c r="T65" i="50"/>
  <c r="A66" i="50"/>
  <c r="AI112" i="50" l="1"/>
  <c r="AJ32" i="49" s="1"/>
  <c r="AI95" i="50"/>
  <c r="AJ15" i="49" s="1"/>
  <c r="AI109" i="50"/>
  <c r="AJ29" i="49" s="1"/>
  <c r="AJ27" i="49"/>
  <c r="AI100" i="50"/>
  <c r="AJ20" i="49" s="1"/>
  <c r="T112" i="50"/>
  <c r="U32" i="49" s="1"/>
  <c r="T95" i="50"/>
  <c r="U15" i="49" s="1"/>
  <c r="T100" i="50"/>
  <c r="U20" i="49" s="1"/>
  <c r="T109" i="50"/>
  <c r="U29" i="49" s="1"/>
  <c r="U27" i="49"/>
  <c r="U112" i="50"/>
  <c r="V32" i="49" s="1"/>
  <c r="U95" i="50"/>
  <c r="V15" i="49" s="1"/>
  <c r="U100" i="50"/>
  <c r="V20" i="49" s="1"/>
  <c r="V27" i="49"/>
  <c r="U109" i="50"/>
  <c r="V29" i="49" s="1"/>
  <c r="AH100" i="50"/>
  <c r="AI20" i="49" s="1"/>
  <c r="AH112" i="50"/>
  <c r="AI32" i="49" s="1"/>
  <c r="AH95" i="50"/>
  <c r="AI15" i="49" s="1"/>
  <c r="AH109" i="50"/>
  <c r="AI29" i="49" s="1"/>
  <c r="AI27" i="49"/>
  <c r="T66" i="50"/>
  <c r="A67" i="50"/>
  <c r="T67" i="50" l="1"/>
  <c r="A68" i="50"/>
  <c r="T68" i="5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41024\Documents\My Data Sources\192.168.20.249 GA_DCH GA_CENSUS.odc" keepAlive="1" name="192.168.20.249 GA_DCH GA_CENSUS" type="5" refreshedVersion="4" background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2" xr16:uid="{00000000-0015-0000-FFFF-FFFF01000000}" odcFile="C:\Users\AH52025\Documents\My Data Sources\192.168.20.249 GA_DCH GA_CENSUS.odc" keepAlive="1" name="192.168.20.249 GA_DCH GA_CENSUS1" type="5" refreshedVersion="4" background="1" saveData="1">
    <dbPr connection="Provider=MSOLAP.4;Persist Security Info=True;User ID=aon\kwolf;Initial Catalog=GA_DCH;Data Source=192.168.20.249;MDX Compatibility=1;Safety Options=2;MDX Missing Member Mode=Error" command="GA_CENSUS" commandType="1"/>
    <olapPr sendLocale="1" rowDrillCount="1000"/>
  </connection>
  <connection id="3" xr16:uid="{00000000-0015-0000-FFFF-FFFF02000000}" odcFile="C:\Users\AH52025\Documents\My Data Sources\192.168.20.249 GA_DCH GA_CLAIMS.odc" keepAlive="1" name="192.168.20.249 GA_DCH GA_CLAIMS" type="5" refreshedVersion="4" background="1" saveData="1">
    <dbPr connection="Provider=MSOLAP.4;Persist Security Info=True;User ID=aon\kwolf;Initial Catalog=GA_DCH;Data Source=192.168.20.249;MDX Compatibility=1;Safety Options=2;MDX Missing Member Mode=Error" command="GA_CLAIMS" commandType="1"/>
    <olapPr sendLocale="1" rowDrillCount="1000"/>
  </connection>
</connections>
</file>

<file path=xl/sharedStrings.xml><?xml version="1.0" encoding="utf-8"?>
<sst xmlns="http://schemas.openxmlformats.org/spreadsheetml/2006/main" count="611" uniqueCount="147">
  <si>
    <t>Employee Plus Children</t>
  </si>
  <si>
    <t>Family</t>
  </si>
  <si>
    <t>Employee Plus Spouse</t>
  </si>
  <si>
    <t>Single</t>
  </si>
  <si>
    <t>UHC</t>
  </si>
  <si>
    <t>Plan</t>
  </si>
  <si>
    <t>Gold Plan</t>
  </si>
  <si>
    <t>Silver Plan</t>
  </si>
  <si>
    <t>Bronze Plan</t>
  </si>
  <si>
    <t>Kaiser</t>
  </si>
  <si>
    <t>Bronze</t>
  </si>
  <si>
    <t>Defined Contribution with Bronze Rates</t>
  </si>
  <si>
    <t>MA Standard</t>
  </si>
  <si>
    <t>MA Premium</t>
  </si>
  <si>
    <t>MA Std-Part B</t>
  </si>
  <si>
    <t>MA Prem-Part B</t>
  </si>
  <si>
    <t>Retiree</t>
  </si>
  <si>
    <t>BCBS HMO</t>
  </si>
  <si>
    <t>UHC HMO</t>
  </si>
  <si>
    <t>UHC HDHP</t>
  </si>
  <si>
    <t>Kaiser HMO</t>
  </si>
  <si>
    <t>Plan Year</t>
  </si>
  <si>
    <t>UHC HMO/UHC MA</t>
  </si>
  <si>
    <t>UHC HDHP/UHC MA</t>
  </si>
  <si>
    <t>Kaiser HMO/UHC MA</t>
  </si>
  <si>
    <t>Retirees</t>
  </si>
  <si>
    <t>Retiree &amp; Spouse</t>
  </si>
  <si>
    <t>B1</t>
  </si>
  <si>
    <t>B2</t>
  </si>
  <si>
    <t>B3</t>
  </si>
  <si>
    <t>B6</t>
  </si>
  <si>
    <t>K1</t>
  </si>
  <si>
    <t>H1</t>
  </si>
  <si>
    <t>H2</t>
  </si>
  <si>
    <t>H3</t>
  </si>
  <si>
    <t>H4</t>
  </si>
  <si>
    <t>ID</t>
  </si>
  <si>
    <t>Col</t>
  </si>
  <si>
    <t>MA STD</t>
  </si>
  <si>
    <t>Rates</t>
  </si>
  <si>
    <t>Subsidized</t>
  </si>
  <si>
    <t>Spouses</t>
  </si>
  <si>
    <t>Children in EE+C</t>
  </si>
  <si>
    <t>Monthly Rates</t>
  </si>
  <si>
    <t xml:space="preserve">Note: </t>
  </si>
  <si>
    <t>If Retiree or Spouse are over 65 and not in MA plan, the members pay for the full costs of the coverage for the whole family</t>
  </si>
  <si>
    <t>The members in MA plans pay the subsidized MA rates</t>
  </si>
  <si>
    <t>Premium Equivalents - Monthly</t>
  </si>
  <si>
    <t>UHC MA Standard</t>
  </si>
  <si>
    <t>UHC MA Premium</t>
  </si>
  <si>
    <t>Vendor</t>
  </si>
  <si>
    <t>UHC MA Plans</t>
  </si>
  <si>
    <t>MA PREM</t>
  </si>
  <si>
    <t>GF-Retirees and Survivors</t>
  </si>
  <si>
    <t>Dependents</t>
  </si>
  <si>
    <t xml:space="preserve">Serivce Based- Retirees and Survivors </t>
  </si>
  <si>
    <t xml:space="preserve">Contribution% </t>
  </si>
  <si>
    <t>Selected YSVC</t>
  </si>
  <si>
    <t>Premiums</t>
  </si>
  <si>
    <t>Contributions</t>
  </si>
  <si>
    <t>&lt;= this only applies to retiree with less than 5 year of servcie as of 1/1/2012</t>
  </si>
  <si>
    <t>&lt;= the most these retirees will have is 10 YOS by 2017, so we only need to provide 0-9 YOS and 10 YOS in 2017.</t>
  </si>
  <si>
    <t>&lt;= we'll add 11 YOS next year for 2018.</t>
  </si>
  <si>
    <t>Retiree Subsidy is capped at the active rates</t>
  </si>
  <si>
    <t>Dependent Subsidy is capped at the active % -20%</t>
  </si>
  <si>
    <t>Dependent Subsidy Cap for Based Plan</t>
  </si>
  <si>
    <t>UHC STD</t>
  </si>
  <si>
    <t>UHC PREM</t>
  </si>
  <si>
    <t>Lowest MA STD</t>
  </si>
  <si>
    <t>Lowest MA PREM</t>
  </si>
  <si>
    <t>SP</t>
  </si>
  <si>
    <t>Chil</t>
  </si>
  <si>
    <t>Contribution Floor</t>
  </si>
  <si>
    <t>% only apply to the base plans; retirees pay the full costs to buy up and down</t>
  </si>
  <si>
    <t>THe base plans are Bronze, Kaiser HMO, Lowest MA STD and Lowest MA PREM</t>
  </si>
  <si>
    <t>B8</t>
  </si>
  <si>
    <t>B7</t>
  </si>
  <si>
    <t>GF</t>
  </si>
  <si>
    <t>0-9</t>
  </si>
  <si>
    <t>Survivors</t>
  </si>
  <si>
    <t>* Drop-down box for the "Retiree Rate Calculator" tab</t>
  </si>
  <si>
    <t>Years of Service at Retirement</t>
  </si>
  <si>
    <t>Eligibility</t>
  </si>
  <si>
    <t>Retirees Coverage Tier</t>
  </si>
  <si>
    <t>Board of Community Health State Health Benefit Plan</t>
  </si>
  <si>
    <t>Retiree Only</t>
  </si>
  <si>
    <t>Retiree &gt;65 with Part B</t>
  </si>
  <si>
    <t>Retiree &lt;65 w/o Part B and Spouse &gt;65 with Part B</t>
  </si>
  <si>
    <t>Retiree &gt;65 with Part B and Spouse&lt;65 w/o Part B</t>
  </si>
  <si>
    <t>Retiree &gt;65 with Part B and Spouse &gt;65 with Part B</t>
  </si>
  <si>
    <t>Retiree &lt;65 w/o Part B and Child(ren) with Part B</t>
  </si>
  <si>
    <t>Retiree &lt;65 with Part B and Child(ren) with Part B</t>
  </si>
  <si>
    <t>Retiree &gt;65 with Part B and Child(ren) w/o Part B</t>
  </si>
  <si>
    <t>Retiree &lt;65 w/o Part B, Spouse &lt;65 w/o Part B, and Childr(ren) with Part B</t>
  </si>
  <si>
    <t>Retiree &lt;65 w/o Part B, Spouse &gt;65 with Part B, and Child(ren) w/o Part B</t>
  </si>
  <si>
    <t>Retiree &lt;65 w/o Part B, Spouse &gt;65 with Part B, and Child(ren) with Part B</t>
  </si>
  <si>
    <t>Retiree &gt;65 with Part B, Spouse &lt;65 w/o Part B, and Child(ren) w/o Part B</t>
  </si>
  <si>
    <t>Retiree &gt;65 with Part B, Spouse &lt;65 w/o Part B, and Child(ren) with Part B</t>
  </si>
  <si>
    <t>Retiree &gt;65 with Part B, Spouse &gt;65 with Part B, and Child(ren) w/o Part B</t>
  </si>
  <si>
    <t>Retiree &gt;65 with Part B, Spouse &gt;65 with Part B, and Child(ren) with Part B</t>
  </si>
  <si>
    <t>Retiree &amp; Child(ren) - Child(ren) with Part B</t>
  </si>
  <si>
    <t>Retiree &amp; Child(ren) - Child(ren) without Part B</t>
  </si>
  <si>
    <t>Family - child(ren) - Child(ren) with Part B</t>
  </si>
  <si>
    <t>Family - child(ren) - Child(ren) without Part B</t>
  </si>
  <si>
    <t>Medicare Advantage Monthly Retiree Contributions</t>
  </si>
  <si>
    <t>Annuitant Years of Service Subsidy Policy</t>
  </si>
  <si>
    <t>Retiree with Part B</t>
  </si>
  <si>
    <t>Retiree with Part B and Spouse&lt;65 without Part B</t>
  </si>
  <si>
    <t>Retiree &lt;65 without Part B and Spouse with Part B</t>
  </si>
  <si>
    <t>Retiree &amp; Spouse both with Part B</t>
  </si>
  <si>
    <t>Retiree with Part B and Child(ren) without Part B</t>
  </si>
  <si>
    <t>Retiree &lt;65 without Part B and Child(ren) with Part B</t>
  </si>
  <si>
    <t>Retiree with Part B and Child(ren) with Part B</t>
  </si>
  <si>
    <t>Retiree with Part B, Spouse &lt;65 without Part B, and Child(ren) without Part B</t>
  </si>
  <si>
    <t>Retiree &lt;65 without Part B, Spouse with Part B, and Child(ren) without Part B</t>
  </si>
  <si>
    <t>Retiree &amp; Spouse both with Part B, and Child(ren) without Part B</t>
  </si>
  <si>
    <t>Retiree with Part B, Spouse &lt;65 without Part B, and Child(ren) with Part B</t>
  </si>
  <si>
    <t>Retiree &lt;65 without Part B, Spouse with Part B, and Child(ren) with Part B</t>
  </si>
  <si>
    <t>Retiree &amp; Spouse both with Part B, and Child(ren) with Part B</t>
  </si>
  <si>
    <t>Retiree &amp; Spouse both &lt;65 w/o Part B, and Childr(ren) with Part B</t>
  </si>
  <si>
    <t>Anthem Gold/UHC MA</t>
  </si>
  <si>
    <t>Anthem Silver/UHC MA</t>
  </si>
  <si>
    <t>Anthem Bronze/UHC MA</t>
  </si>
  <si>
    <t>Anthem HMO/UHC MA</t>
  </si>
  <si>
    <t>Next Time, link everything to the final ADP file for both the Calc tab and the ADP Rule tab.</t>
  </si>
  <si>
    <t>Anthem</t>
  </si>
  <si>
    <t>Monthly Contribution Active</t>
  </si>
  <si>
    <t>Anthem MA Plans</t>
  </si>
  <si>
    <t>Anthem Gold/Anthem MA</t>
  </si>
  <si>
    <t>Anthem Silver/Anthem MA</t>
  </si>
  <si>
    <t>Anthem Bronze/Anthem MA</t>
  </si>
  <si>
    <t>Anthem HMO/Anthem MA</t>
  </si>
  <si>
    <t>UHC HMO/Anthem MA</t>
  </si>
  <si>
    <t>UHC HDHP/Anthem MA</t>
  </si>
  <si>
    <t>Kaiser HMO/Anthem MA</t>
  </si>
  <si>
    <t/>
  </si>
  <si>
    <t>Retiree&lt;65</t>
  </si>
  <si>
    <t>Children</t>
  </si>
  <si>
    <t>Full Cost</t>
  </si>
  <si>
    <t>Children-Split Family</t>
  </si>
  <si>
    <t>MA- Ret</t>
  </si>
  <si>
    <t>MA- Sp or Ch</t>
  </si>
  <si>
    <t>Spouses-DeMedical</t>
  </si>
  <si>
    <t>Spouses-w Retiree</t>
  </si>
  <si>
    <t>Spouse&lt;65 (Ret&amp;Sp in Same Plan)</t>
  </si>
  <si>
    <t>Spouse&lt;65 (Ret&amp;Sp different Plan)</t>
  </si>
  <si>
    <t>&lt;= Sp full cost is different if covered with and without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</si>
</sst>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#,##0_);[Red]\(#,##0\);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i/>
      <sz val="10"/>
      <color indexed="12"/>
      <name val="Times New Roman"/>
      <family val="1"/>
    </font>
    <font>
      <sz val="10"/>
      <name val="Times New Roman"/>
      <family val="1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/>
    <xf numFmtId="4" fontId="26" fillId="25" borderId="16" applyNumberFormat="0" applyFont="0" applyBorder="0" applyAlignment="0">
      <protection locked="0"/>
    </xf>
    <xf numFmtId="167" fontId="27" fillId="0" borderId="0" applyNumberFormat="0" applyFont="0" applyBorder="0" applyAlignment="0"/>
    <xf numFmtId="0" fontId="28" fillId="0" borderId="0">
      <alignment horizontal="left" vertical="center" indent="1"/>
    </xf>
    <xf numFmtId="0" fontId="27" fillId="26" borderId="0" applyNumberFormat="0" applyFont="0" applyBorder="0" applyAlignment="0"/>
    <xf numFmtId="0" fontId="27" fillId="26" borderId="0" applyNumberFormat="0" applyFont="0" applyBorder="0" applyAlignment="0"/>
    <xf numFmtId="0" fontId="27" fillId="27" borderId="16" applyNumberFormat="0" applyFont="0" applyBorder="0" applyAlignment="0">
      <alignment horizontal="center"/>
    </xf>
    <xf numFmtId="4" fontId="27" fillId="28" borderId="16" applyNumberFormat="0" applyFont="0" applyBorder="0" applyAlignment="0">
      <protection locked="0"/>
    </xf>
  </cellStyleXfs>
  <cellXfs count="142">
    <xf numFmtId="0" fontId="0" fillId="0" borderId="0" xfId="0"/>
    <xf numFmtId="0" fontId="21" fillId="0" borderId="0" xfId="0" applyFont="1" applyFill="1" applyBorder="1"/>
    <xf numFmtId="0" fontId="1" fillId="24" borderId="0" xfId="1" applyFont="1" applyFill="1" applyBorder="1"/>
    <xf numFmtId="0" fontId="1" fillId="24" borderId="0" xfId="1" applyFont="1" applyFill="1" applyBorder="1" applyAlignment="1">
      <alignment horizontal="center"/>
    </xf>
    <xf numFmtId="0" fontId="20" fillId="24" borderId="0" xfId="1" applyFont="1" applyFill="1" applyBorder="1"/>
    <xf numFmtId="0" fontId="20" fillId="24" borderId="29" xfId="1" applyFont="1" applyFill="1" applyBorder="1" applyAlignment="1">
      <alignment horizontal="centerContinuous"/>
    </xf>
    <xf numFmtId="0" fontId="20" fillId="24" borderId="26" xfId="1" applyFont="1" applyFill="1" applyBorder="1" applyAlignment="1">
      <alignment horizontal="centerContinuous"/>
    </xf>
    <xf numFmtId="0" fontId="29" fillId="24" borderId="0" xfId="0" applyFont="1" applyFill="1" applyProtection="1">
      <protection hidden="1"/>
    </xf>
    <xf numFmtId="0" fontId="20" fillId="24" borderId="0" xfId="0" applyFont="1" applyFill="1" applyProtection="1">
      <protection hidden="1"/>
    </xf>
    <xf numFmtId="164" fontId="31" fillId="29" borderId="31" xfId="1" applyNumberFormat="1" applyFont="1" applyFill="1" applyBorder="1"/>
    <xf numFmtId="164" fontId="31" fillId="29" borderId="45" xfId="1" applyNumberFormat="1" applyFont="1" applyFill="1" applyBorder="1"/>
    <xf numFmtId="164" fontId="31" fillId="29" borderId="41" xfId="1" applyNumberFormat="1" applyFont="1" applyFill="1" applyBorder="1"/>
    <xf numFmtId="0" fontId="32" fillId="24" borderId="0" xfId="0" applyFont="1" applyFill="1" applyProtection="1">
      <protection hidden="1"/>
    </xf>
    <xf numFmtId="0" fontId="1" fillId="0" borderId="0" xfId="1" applyFont="1" applyFill="1" applyBorder="1"/>
    <xf numFmtId="0" fontId="1" fillId="0" borderId="0" xfId="1" applyFont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0" xfId="1" applyNumberFormat="1" applyFont="1" applyBorder="1"/>
    <xf numFmtId="164" fontId="1" fillId="0" borderId="49" xfId="2" applyNumberFormat="1" applyFont="1" applyBorder="1" applyAlignment="1">
      <alignment horizontal="right" wrapText="1"/>
    </xf>
    <xf numFmtId="164" fontId="1" fillId="0" borderId="50" xfId="2" applyNumberFormat="1" applyFont="1" applyBorder="1" applyAlignment="1">
      <alignment horizontal="right" wrapText="1"/>
    </xf>
    <xf numFmtId="164" fontId="1" fillId="0" borderId="39" xfId="2" applyNumberFormat="1" applyFont="1" applyBorder="1" applyAlignment="1">
      <alignment horizontal="right" wrapText="1"/>
    </xf>
    <xf numFmtId="164" fontId="1" fillId="0" borderId="51" xfId="2" applyNumberFormat="1" applyFont="1" applyBorder="1" applyAlignment="1">
      <alignment horizontal="right" wrapText="1"/>
    </xf>
    <xf numFmtId="164" fontId="1" fillId="0" borderId="35" xfId="2" applyNumberFormat="1" applyFont="1" applyBorder="1" applyAlignment="1">
      <alignment horizontal="right" wrapText="1"/>
    </xf>
    <xf numFmtId="164" fontId="1" fillId="0" borderId="46" xfId="2" applyNumberFormat="1" applyFont="1" applyBorder="1" applyAlignment="1">
      <alignment horizontal="right" wrapText="1"/>
    </xf>
    <xf numFmtId="164" fontId="1" fillId="0" borderId="24" xfId="2" applyNumberFormat="1" applyFont="1" applyBorder="1" applyAlignment="1">
      <alignment horizontal="right" wrapText="1"/>
    </xf>
    <xf numFmtId="164" fontId="1" fillId="0" borderId="16" xfId="2" applyNumberFormat="1" applyFont="1" applyBorder="1" applyAlignment="1">
      <alignment horizontal="right" wrapText="1"/>
    </xf>
    <xf numFmtId="164" fontId="1" fillId="0" borderId="47" xfId="2" applyNumberFormat="1" applyFont="1" applyBorder="1" applyAlignment="1">
      <alignment horizontal="right" wrapText="1"/>
    </xf>
    <xf numFmtId="164" fontId="1" fillId="0" borderId="17" xfId="2" applyNumberFormat="1" applyFont="1" applyBorder="1" applyAlignment="1">
      <alignment horizontal="right" wrapText="1"/>
    </xf>
    <xf numFmtId="164" fontId="1" fillId="0" borderId="21" xfId="2" applyNumberFormat="1" applyFont="1" applyBorder="1" applyAlignment="1">
      <alignment horizontal="right" wrapText="1"/>
    </xf>
    <xf numFmtId="0" fontId="21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164" fontId="1" fillId="24" borderId="48" xfId="1" applyNumberFormat="1" applyFont="1" applyFill="1" applyBorder="1" applyAlignment="1">
      <alignment horizontal="center" wrapText="1"/>
    </xf>
    <xf numFmtId="164" fontId="1" fillId="24" borderId="30" xfId="1" applyNumberFormat="1" applyFont="1" applyFill="1" applyBorder="1" applyAlignment="1">
      <alignment horizontal="center" wrapText="1"/>
    </xf>
    <xf numFmtId="164" fontId="1" fillId="24" borderId="28" xfId="1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0" fontId="25" fillId="0" borderId="0" xfId="56" applyFont="1" applyFill="1" applyBorder="1"/>
    <xf numFmtId="0" fontId="31" fillId="0" borderId="0" xfId="56" applyFont="1" applyFill="1" applyBorder="1" applyAlignment="1">
      <alignment horizontal="center"/>
    </xf>
    <xf numFmtId="0" fontId="31" fillId="0" borderId="0" xfId="0" applyFont="1" applyFill="1" applyBorder="1"/>
    <xf numFmtId="0" fontId="25" fillId="0" borderId="0" xfId="0" applyFont="1" applyFill="1" applyBorder="1" applyAlignment="1">
      <alignment horizontal="center"/>
    </xf>
    <xf numFmtId="7" fontId="31" fillId="0" borderId="0" xfId="0" applyNumberFormat="1" applyFont="1" applyFill="1" applyBorder="1" applyAlignment="1">
      <alignment horizontal="center"/>
    </xf>
    <xf numFmtId="0" fontId="31" fillId="0" borderId="0" xfId="1" applyFont="1" applyFill="1" applyBorder="1"/>
    <xf numFmtId="0" fontId="31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right"/>
    </xf>
    <xf numFmtId="164" fontId="31" fillId="0" borderId="0" xfId="1" applyNumberFormat="1" applyFont="1" applyFill="1" applyBorder="1"/>
    <xf numFmtId="0" fontId="25" fillId="0" borderId="0" xfId="56" applyFont="1" applyFill="1" applyBorder="1" applyAlignment="1">
      <alignment horizontal="center"/>
    </xf>
    <xf numFmtId="7" fontId="25" fillId="0" borderId="0" xfId="0" applyNumberFormat="1" applyFont="1" applyFill="1" applyBorder="1" applyAlignment="1">
      <alignment horizontal="center"/>
    </xf>
    <xf numFmtId="49" fontId="30" fillId="0" borderId="0" xfId="1" applyNumberFormat="1" applyFont="1" applyFill="1" applyBorder="1"/>
    <xf numFmtId="49" fontId="31" fillId="0" borderId="0" xfId="1" applyNumberFormat="1" applyFont="1" applyFill="1" applyBorder="1"/>
    <xf numFmtId="0" fontId="20" fillId="24" borderId="33" xfId="1" applyFont="1" applyFill="1" applyBorder="1" applyAlignment="1">
      <alignment horizontal="centerContinuous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44" fontId="31" fillId="0" borderId="0" xfId="54" applyFont="1" applyFill="1" applyBorder="1"/>
    <xf numFmtId="165" fontId="31" fillId="0" borderId="0" xfId="0" applyNumberFormat="1" applyFont="1" applyFill="1" applyBorder="1"/>
    <xf numFmtId="7" fontId="31" fillId="0" borderId="0" xfId="0" applyNumberFormat="1" applyFont="1" applyFill="1" applyBorder="1"/>
    <xf numFmtId="0" fontId="31" fillId="0" borderId="0" xfId="56" applyFont="1" applyFill="1" applyBorder="1"/>
    <xf numFmtId="0" fontId="31" fillId="0" borderId="0" xfId="0" applyFont="1" applyFill="1" applyBorder="1" applyAlignment="1">
      <alignment vertical="center"/>
    </xf>
    <xf numFmtId="7" fontId="31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Continuous"/>
    </xf>
    <xf numFmtId="10" fontId="31" fillId="0" borderId="0" xfId="0" applyNumberFormat="1" applyFont="1" applyFill="1" applyBorder="1" applyAlignment="1">
      <alignment horizontal="center"/>
    </xf>
    <xf numFmtId="9" fontId="31" fillId="0" borderId="0" xfId="0" applyNumberFormat="1" applyFont="1" applyFill="1" applyBorder="1" applyAlignment="1">
      <alignment horizontal="center"/>
    </xf>
    <xf numFmtId="0" fontId="30" fillId="0" borderId="0" xfId="1" applyFont="1" applyFill="1" applyBorder="1" applyAlignment="1"/>
    <xf numFmtId="0" fontId="25" fillId="0" borderId="0" xfId="1" applyFont="1" applyFill="1" applyBorder="1" applyAlignment="1">
      <alignment horizontal="centerContinuous"/>
    </xf>
    <xf numFmtId="164" fontId="31" fillId="0" borderId="0" xfId="1" applyNumberFormat="1" applyFont="1" applyFill="1" applyBorder="1" applyAlignment="1">
      <alignment horizontal="center" wrapText="1"/>
    </xf>
    <xf numFmtId="164" fontId="31" fillId="0" borderId="0" xfId="2" applyNumberFormat="1" applyFont="1" applyFill="1" applyBorder="1" applyAlignment="1">
      <alignment horizontal="right" wrapText="1"/>
    </xf>
    <xf numFmtId="164" fontId="31" fillId="0" borderId="0" xfId="2" applyNumberFormat="1" applyFont="1" applyFill="1" applyBorder="1" applyAlignment="1">
      <alignment horizontal="center"/>
    </xf>
    <xf numFmtId="7" fontId="25" fillId="0" borderId="0" xfId="0" applyNumberFormat="1" applyFont="1" applyFill="1" applyBorder="1" applyAlignment="1">
      <alignment horizontal="left"/>
    </xf>
    <xf numFmtId="164" fontId="31" fillId="0" borderId="0" xfId="0" applyNumberFormat="1" applyFont="1" applyFill="1" applyBorder="1"/>
    <xf numFmtId="166" fontId="31" fillId="0" borderId="0" xfId="55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1" fillId="24" borderId="0" xfId="1" applyFont="1" applyFill="1" applyBorder="1" applyProtection="1">
      <protection hidden="1"/>
    </xf>
    <xf numFmtId="7" fontId="1" fillId="24" borderId="0" xfId="1" applyNumberFormat="1" applyFont="1" applyFill="1" applyBorder="1" applyProtection="1">
      <protection hidden="1"/>
    </xf>
    <xf numFmtId="0" fontId="20" fillId="24" borderId="0" xfId="1" applyFont="1" applyFill="1" applyProtection="1">
      <protection hidden="1"/>
    </xf>
    <xf numFmtId="0" fontId="20" fillId="24" borderId="0" xfId="1" applyFont="1" applyFill="1" applyBorder="1" applyAlignment="1" applyProtection="1">
      <alignment horizontal="right"/>
      <protection hidden="1"/>
    </xf>
    <xf numFmtId="0" fontId="1" fillId="24" borderId="0" xfId="1" applyFont="1" applyFill="1" applyProtection="1">
      <protection hidden="1"/>
    </xf>
    <xf numFmtId="7" fontId="1" fillId="24" borderId="0" xfId="1" applyNumberFormat="1" applyFont="1" applyFill="1" applyProtection="1">
      <protection hidden="1"/>
    </xf>
    <xf numFmtId="0" fontId="22" fillId="24" borderId="0" xfId="1" applyFont="1" applyFill="1" applyBorder="1" applyProtection="1">
      <protection locked="0" hidden="1"/>
    </xf>
    <xf numFmtId="0" fontId="20" fillId="24" borderId="0" xfId="1" applyFont="1" applyFill="1" applyBorder="1" applyProtection="1">
      <protection hidden="1"/>
    </xf>
    <xf numFmtId="0" fontId="22" fillId="24" borderId="11" xfId="1" applyFont="1" applyFill="1" applyBorder="1" applyAlignment="1" applyProtection="1">
      <protection hidden="1"/>
    </xf>
    <xf numFmtId="0" fontId="22" fillId="24" borderId="12" xfId="1" applyFont="1" applyFill="1" applyBorder="1" applyAlignment="1" applyProtection="1">
      <protection hidden="1"/>
    </xf>
    <xf numFmtId="0" fontId="22" fillId="24" borderId="10" xfId="1" applyFont="1" applyFill="1" applyBorder="1" applyAlignment="1" applyProtection="1">
      <protection hidden="1"/>
    </xf>
    <xf numFmtId="0" fontId="20" fillId="24" borderId="25" xfId="1" applyFont="1" applyFill="1" applyBorder="1" applyAlignment="1" applyProtection="1">
      <alignment horizontal="centerContinuous"/>
      <protection hidden="1"/>
    </xf>
    <xf numFmtId="0" fontId="20" fillId="24" borderId="29" xfId="1" applyFont="1" applyFill="1" applyBorder="1" applyAlignment="1" applyProtection="1">
      <alignment horizontal="centerContinuous"/>
      <protection hidden="1"/>
    </xf>
    <xf numFmtId="0" fontId="20" fillId="24" borderId="38" xfId="1" applyFont="1" applyFill="1" applyBorder="1" applyAlignment="1" applyProtection="1">
      <alignment horizontal="centerContinuous"/>
      <protection hidden="1"/>
    </xf>
    <xf numFmtId="0" fontId="20" fillId="24" borderId="26" xfId="1" applyFont="1" applyFill="1" applyBorder="1" applyAlignment="1" applyProtection="1">
      <alignment horizontal="centerContinuous"/>
      <protection hidden="1"/>
    </xf>
    <xf numFmtId="0" fontId="22" fillId="24" borderId="23" xfId="1" applyFont="1" applyFill="1" applyBorder="1" applyAlignment="1" applyProtection="1">
      <protection hidden="1"/>
    </xf>
    <xf numFmtId="0" fontId="22" fillId="24" borderId="19" xfId="1" applyFont="1" applyFill="1" applyBorder="1" applyAlignment="1" applyProtection="1">
      <protection hidden="1"/>
    </xf>
    <xf numFmtId="0" fontId="22" fillId="24" borderId="20" xfId="1" applyFont="1" applyFill="1" applyBorder="1" applyAlignment="1" applyProtection="1">
      <protection hidden="1"/>
    </xf>
    <xf numFmtId="0" fontId="20" fillId="24" borderId="20" xfId="1" applyFont="1" applyFill="1" applyBorder="1" applyAlignment="1" applyProtection="1">
      <protection hidden="1"/>
    </xf>
    <xf numFmtId="164" fontId="23" fillId="24" borderId="27" xfId="1" applyNumberFormat="1" applyFont="1" applyFill="1" applyBorder="1" applyAlignment="1" applyProtection="1">
      <alignment horizontal="center" wrapText="1"/>
      <protection hidden="1"/>
    </xf>
    <xf numFmtId="164" fontId="23" fillId="24" borderId="30" xfId="1" applyNumberFormat="1" applyFont="1" applyFill="1" applyBorder="1" applyAlignment="1" applyProtection="1">
      <alignment horizontal="center" wrapText="1"/>
      <protection hidden="1"/>
    </xf>
    <xf numFmtId="164" fontId="23" fillId="24" borderId="21" xfId="1" applyNumberFormat="1" applyFont="1" applyFill="1" applyBorder="1" applyAlignment="1" applyProtection="1">
      <alignment horizontal="center" wrapText="1"/>
      <protection hidden="1"/>
    </xf>
    <xf numFmtId="164" fontId="23" fillId="24" borderId="43" xfId="1" applyNumberFormat="1" applyFont="1" applyFill="1" applyBorder="1" applyAlignment="1" applyProtection="1">
      <alignment horizontal="center" wrapText="1"/>
      <protection hidden="1"/>
    </xf>
    <xf numFmtId="164" fontId="23" fillId="24" borderId="34" xfId="1" applyNumberFormat="1" applyFont="1" applyFill="1" applyBorder="1" applyAlignment="1" applyProtection="1">
      <alignment horizontal="center" wrapText="1"/>
      <protection hidden="1"/>
    </xf>
    <xf numFmtId="164" fontId="23" fillId="24" borderId="28" xfId="1" applyNumberFormat="1" applyFont="1" applyFill="1" applyBorder="1" applyAlignment="1" applyProtection="1">
      <alignment horizontal="center" wrapText="1"/>
      <protection hidden="1"/>
    </xf>
    <xf numFmtId="0" fontId="1" fillId="24" borderId="0" xfId="1" applyFont="1" applyFill="1" applyBorder="1" applyAlignment="1" applyProtection="1">
      <alignment horizontal="center"/>
      <protection hidden="1"/>
    </xf>
    <xf numFmtId="49" fontId="30" fillId="29" borderId="11" xfId="1" applyNumberFormat="1" applyFont="1" applyFill="1" applyBorder="1" applyProtection="1">
      <protection hidden="1"/>
    </xf>
    <xf numFmtId="49" fontId="30" fillId="29" borderId="12" xfId="1" applyNumberFormat="1" applyFont="1" applyFill="1" applyBorder="1" applyProtection="1">
      <protection hidden="1"/>
    </xf>
    <xf numFmtId="49" fontId="30" fillId="29" borderId="10" xfId="1" applyNumberFormat="1" applyFont="1" applyFill="1" applyBorder="1" applyProtection="1">
      <protection hidden="1"/>
    </xf>
    <xf numFmtId="0" fontId="31" fillId="29" borderId="10" xfId="1" applyFont="1" applyFill="1" applyBorder="1" applyProtection="1">
      <protection hidden="1"/>
    </xf>
    <xf numFmtId="164" fontId="31" fillId="29" borderId="42" xfId="1" applyNumberFormat="1" applyFont="1" applyFill="1" applyBorder="1" applyProtection="1">
      <protection hidden="1"/>
    </xf>
    <xf numFmtId="164" fontId="31" fillId="29" borderId="31" xfId="1" applyNumberFormat="1" applyFont="1" applyFill="1" applyBorder="1" applyProtection="1">
      <protection hidden="1"/>
    </xf>
    <xf numFmtId="164" fontId="31" fillId="29" borderId="45" xfId="1" applyNumberFormat="1" applyFont="1" applyFill="1" applyBorder="1" applyProtection="1">
      <protection hidden="1"/>
    </xf>
    <xf numFmtId="164" fontId="31" fillId="29" borderId="41" xfId="1" applyNumberFormat="1" applyFont="1" applyFill="1" applyBorder="1" applyProtection="1">
      <protection hidden="1"/>
    </xf>
    <xf numFmtId="164" fontId="31" fillId="29" borderId="14" xfId="1" applyNumberFormat="1" applyFont="1" applyFill="1" applyBorder="1" applyProtection="1">
      <protection hidden="1"/>
    </xf>
    <xf numFmtId="0" fontId="1" fillId="24" borderId="15" xfId="1" applyFont="1" applyFill="1" applyBorder="1" applyProtection="1">
      <protection hidden="1"/>
    </xf>
    <xf numFmtId="0" fontId="1" fillId="24" borderId="13" xfId="1" applyFont="1" applyFill="1" applyBorder="1" applyProtection="1">
      <protection hidden="1"/>
    </xf>
    <xf numFmtId="7" fontId="1" fillId="24" borderId="46" xfId="1" applyNumberFormat="1" applyFont="1" applyFill="1" applyBorder="1" applyAlignment="1" applyProtection="1">
      <alignment horizontal="center"/>
      <protection hidden="1"/>
    </xf>
    <xf numFmtId="7" fontId="1" fillId="24" borderId="24" xfId="1" applyNumberFormat="1" applyFont="1" applyFill="1" applyBorder="1" applyAlignment="1" applyProtection="1">
      <alignment horizontal="center"/>
      <protection hidden="1"/>
    </xf>
    <xf numFmtId="7" fontId="1" fillId="24" borderId="17" xfId="1" applyNumberFormat="1" applyFont="1" applyFill="1" applyBorder="1" applyAlignment="1" applyProtection="1">
      <alignment horizontal="center"/>
      <protection hidden="1"/>
    </xf>
    <xf numFmtId="7" fontId="1" fillId="24" borderId="47" xfId="1" applyNumberFormat="1" applyFont="1" applyFill="1" applyBorder="1" applyAlignment="1" applyProtection="1">
      <alignment horizontal="center"/>
      <protection hidden="1"/>
    </xf>
    <xf numFmtId="7" fontId="1" fillId="24" borderId="16" xfId="1" applyNumberFormat="1" applyFont="1" applyFill="1" applyBorder="1" applyAlignment="1" applyProtection="1">
      <alignment horizontal="center"/>
      <protection hidden="1"/>
    </xf>
    <xf numFmtId="49" fontId="1" fillId="24" borderId="15" xfId="1" applyNumberFormat="1" applyFont="1" applyFill="1" applyBorder="1" applyProtection="1">
      <protection hidden="1"/>
    </xf>
    <xf numFmtId="49" fontId="1" fillId="24" borderId="0" xfId="1" applyNumberFormat="1" applyFont="1" applyFill="1" applyBorder="1" applyProtection="1">
      <protection hidden="1"/>
    </xf>
    <xf numFmtId="49" fontId="1" fillId="24" borderId="13" xfId="1" applyNumberFormat="1" applyFont="1" applyFill="1" applyBorder="1" applyProtection="1">
      <protection hidden="1"/>
    </xf>
    <xf numFmtId="49" fontId="30" fillId="29" borderId="15" xfId="1" applyNumberFormat="1" applyFont="1" applyFill="1" applyBorder="1" applyProtection="1">
      <protection hidden="1"/>
    </xf>
    <xf numFmtId="49" fontId="30" fillId="29" borderId="0" xfId="1" applyNumberFormat="1" applyFont="1" applyFill="1" applyBorder="1" applyProtection="1">
      <protection hidden="1"/>
    </xf>
    <xf numFmtId="49" fontId="30" fillId="29" borderId="13" xfId="1" applyNumberFormat="1" applyFont="1" applyFill="1" applyBorder="1" applyProtection="1">
      <protection hidden="1"/>
    </xf>
    <xf numFmtId="0" fontId="31" fillId="29" borderId="13" xfId="1" applyFont="1" applyFill="1" applyBorder="1" applyProtection="1">
      <protection hidden="1"/>
    </xf>
    <xf numFmtId="164" fontId="31" fillId="29" borderId="46" xfId="1" applyNumberFormat="1" applyFont="1" applyFill="1" applyBorder="1" applyProtection="1">
      <protection hidden="1"/>
    </xf>
    <xf numFmtId="164" fontId="31" fillId="29" borderId="24" xfId="1" applyNumberFormat="1" applyFont="1" applyFill="1" applyBorder="1" applyProtection="1">
      <protection hidden="1"/>
    </xf>
    <xf numFmtId="164" fontId="31" fillId="29" borderId="17" xfId="1" applyNumberFormat="1" applyFont="1" applyFill="1" applyBorder="1" applyProtection="1">
      <protection hidden="1"/>
    </xf>
    <xf numFmtId="164" fontId="31" fillId="29" borderId="47" xfId="1" applyNumberFormat="1" applyFont="1" applyFill="1" applyBorder="1" applyProtection="1">
      <protection hidden="1"/>
    </xf>
    <xf numFmtId="164" fontId="31" fillId="29" borderId="16" xfId="1" applyNumberFormat="1" applyFont="1" applyFill="1" applyBorder="1" applyProtection="1">
      <protection hidden="1"/>
    </xf>
    <xf numFmtId="0" fontId="1" fillId="24" borderId="18" xfId="1" applyFont="1" applyFill="1" applyBorder="1" applyProtection="1">
      <protection hidden="1"/>
    </xf>
    <xf numFmtId="0" fontId="1" fillId="24" borderId="19" xfId="1" applyFont="1" applyFill="1" applyBorder="1" applyProtection="1">
      <protection hidden="1"/>
    </xf>
    <xf numFmtId="0" fontId="1" fillId="24" borderId="20" xfId="1" applyFont="1" applyFill="1" applyBorder="1" applyProtection="1">
      <protection hidden="1"/>
    </xf>
    <xf numFmtId="7" fontId="1" fillId="24" borderId="44" xfId="1" applyNumberFormat="1" applyFont="1" applyFill="1" applyBorder="1" applyAlignment="1" applyProtection="1">
      <alignment horizontal="center"/>
      <protection hidden="1"/>
    </xf>
    <xf numFmtId="7" fontId="1" fillId="24" borderId="40" xfId="1" applyNumberFormat="1" applyFont="1" applyFill="1" applyBorder="1" applyAlignment="1" applyProtection="1">
      <alignment horizontal="center"/>
      <protection hidden="1"/>
    </xf>
    <xf numFmtId="7" fontId="1" fillId="24" borderId="21" xfId="1" applyNumberFormat="1" applyFont="1" applyFill="1" applyBorder="1" applyAlignment="1" applyProtection="1">
      <alignment horizontal="center"/>
      <protection hidden="1"/>
    </xf>
    <xf numFmtId="7" fontId="1" fillId="24" borderId="43" xfId="1" applyNumberFormat="1" applyFont="1" applyFill="1" applyBorder="1" applyAlignment="1" applyProtection="1">
      <alignment horizontal="center"/>
      <protection hidden="1"/>
    </xf>
    <xf numFmtId="7" fontId="1" fillId="24" borderId="22" xfId="1" applyNumberFormat="1" applyFont="1" applyFill="1" applyBorder="1" applyAlignment="1" applyProtection="1">
      <alignment horizontal="center"/>
      <protection hidden="1"/>
    </xf>
    <xf numFmtId="0" fontId="24" fillId="24" borderId="0" xfId="1" applyFont="1" applyFill="1" applyBorder="1" applyProtection="1">
      <protection hidden="1"/>
    </xf>
    <xf numFmtId="0" fontId="20" fillId="30" borderId="0" xfId="1" applyFont="1" applyFill="1" applyBorder="1" applyAlignment="1" applyProtection="1">
      <alignment horizontal="center"/>
      <protection locked="0" hidden="1"/>
    </xf>
    <xf numFmtId="0" fontId="20" fillId="24" borderId="36" xfId="1" applyFont="1" applyFill="1" applyBorder="1" applyAlignment="1" applyProtection="1">
      <alignment horizontal="center"/>
      <protection hidden="1"/>
    </xf>
    <xf numFmtId="0" fontId="20" fillId="24" borderId="33" xfId="1" applyFont="1" applyFill="1" applyBorder="1" applyAlignment="1" applyProtection="1">
      <alignment horizontal="center"/>
      <protection hidden="1"/>
    </xf>
    <xf numFmtId="0" fontId="20" fillId="24" borderId="32" xfId="1" applyFont="1" applyFill="1" applyBorder="1" applyAlignment="1" applyProtection="1">
      <alignment horizontal="center"/>
      <protection hidden="1"/>
    </xf>
    <xf numFmtId="0" fontId="20" fillId="24" borderId="37" xfId="1" applyFont="1" applyFill="1" applyBorder="1" applyAlignment="1" applyProtection="1">
      <alignment horizontal="center"/>
      <protection hidden="1"/>
    </xf>
    <xf numFmtId="0" fontId="25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</cellXfs>
  <cellStyles count="6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adEntry" xfId="57" xr:uid="{00000000-0005-0000-0000-000019000000}"/>
    <cellStyle name="Calcs" xfId="58" xr:uid="{00000000-0005-0000-0000-00001A000000}"/>
    <cellStyle name="Calculation 2" xfId="36" xr:uid="{00000000-0005-0000-0000-00001B000000}"/>
    <cellStyle name="Check Cell 2" xfId="37" xr:uid="{00000000-0005-0000-0000-00001C000000}"/>
    <cellStyle name="Comma 2" xfId="3" xr:uid="{00000000-0005-0000-0000-00001D000000}"/>
    <cellStyle name="Comma 3" xfId="4" xr:uid="{00000000-0005-0000-0000-00001E000000}"/>
    <cellStyle name="Comma 4" xfId="9" xr:uid="{00000000-0005-0000-0000-00001F000000}"/>
    <cellStyle name="ContentsHyperlink" xfId="59" xr:uid="{00000000-0005-0000-0000-000020000000}"/>
    <cellStyle name="Currency" xfId="54" builtinId="4"/>
    <cellStyle name="Currency 2" xfId="2" xr:uid="{00000000-0005-0000-0000-000022000000}"/>
    <cellStyle name="Currency 3" xfId="5" xr:uid="{00000000-0005-0000-0000-000023000000}"/>
    <cellStyle name="Currency 4" xfId="8" xr:uid="{00000000-0005-0000-0000-000024000000}"/>
    <cellStyle name="Currency 5" xfId="38" xr:uid="{00000000-0005-0000-0000-000025000000}"/>
    <cellStyle name="Explanatory Text 2" xfId="39" xr:uid="{00000000-0005-0000-0000-000026000000}"/>
    <cellStyle name="Good 2" xfId="40" xr:uid="{00000000-0005-0000-0000-000027000000}"/>
    <cellStyle name="Heading" xfId="60" xr:uid="{00000000-0005-0000-0000-000028000000}"/>
    <cellStyle name="Heading 1 2" xfId="41" xr:uid="{00000000-0005-0000-0000-000029000000}"/>
    <cellStyle name="Heading 2 2" xfId="42" xr:uid="{00000000-0005-0000-0000-00002A000000}"/>
    <cellStyle name="Heading 3 2" xfId="43" xr:uid="{00000000-0005-0000-0000-00002B000000}"/>
    <cellStyle name="Heading 4 2" xfId="44" xr:uid="{00000000-0005-0000-0000-00002C000000}"/>
    <cellStyle name="Heading 5" xfId="61" xr:uid="{00000000-0005-0000-0000-00002D000000}"/>
    <cellStyle name="Input 2" xfId="45" xr:uid="{00000000-0005-0000-0000-00002F000000}"/>
    <cellStyle name="Linked Cell 2" xfId="46" xr:uid="{00000000-0005-0000-0000-000030000000}"/>
    <cellStyle name="Neutral 2" xfId="47" xr:uid="{00000000-0005-0000-0000-000031000000}"/>
    <cellStyle name="NoEntry" xfId="62" xr:uid="{00000000-0005-0000-0000-000032000000}"/>
    <cellStyle name="Normal" xfId="0" builtinId="0"/>
    <cellStyle name="Normal 2" xfId="1" xr:uid="{00000000-0005-0000-0000-000034000000}"/>
    <cellStyle name="Normal 3" xfId="6" xr:uid="{00000000-0005-0000-0000-000035000000}"/>
    <cellStyle name="Normal 4" xfId="10" xr:uid="{00000000-0005-0000-0000-000036000000}"/>
    <cellStyle name="Normal 5" xfId="56" xr:uid="{00000000-0005-0000-0000-000037000000}"/>
    <cellStyle name="Note 2" xfId="48" xr:uid="{00000000-0005-0000-0000-000038000000}"/>
    <cellStyle name="Output 2" xfId="49" xr:uid="{00000000-0005-0000-0000-000039000000}"/>
    <cellStyle name="Percent" xfId="55" builtinId="5"/>
    <cellStyle name="Percent 2" xfId="7" xr:uid="{00000000-0005-0000-0000-00003B000000}"/>
    <cellStyle name="Percent 3" xfId="50" xr:uid="{00000000-0005-0000-0000-00003C000000}"/>
    <cellStyle name="Title 2" xfId="51" xr:uid="{00000000-0005-0000-0000-00003D000000}"/>
    <cellStyle name="Total 2" xfId="52" xr:uid="{00000000-0005-0000-0000-00003E000000}"/>
    <cellStyle name="UserEntry" xfId="63" xr:uid="{00000000-0005-0000-0000-00003F000000}"/>
    <cellStyle name="Warning Text 2" xfId="53" xr:uid="{00000000-0005-0000-0000-000040000000}"/>
  </cellStyles>
  <dxfs count="0"/>
  <tableStyles count="0" defaultTableStyle="TableStyleMedium9" defaultPivotStyle="PivotStyleLight16"/>
  <colors>
    <mruColors>
      <color rgb="FF0000CC"/>
      <color rgb="FFCCFFFF"/>
      <color rgb="FFFF00FF"/>
      <color rgb="FFFF7C80"/>
      <color rgb="FFFFFFCC"/>
      <color rgb="FF9900CC"/>
      <color rgb="FF33CC33"/>
      <color rgb="FFCCFFCC"/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8BAD-86D4-4DA6-B0CF-87E47446675E}">
  <dimension ref="A1:AK37"/>
  <sheetViews>
    <sheetView tabSelected="1" zoomScale="90" zoomScaleNormal="90" workbookViewId="0">
      <pane xSplit="4" ySplit="10" topLeftCell="E11" activePane="bottomRight" state="frozen"/>
      <selection activeCell="D33" sqref="D33"/>
      <selection pane="topRight" activeCell="D33" sqref="D33"/>
      <selection pane="bottomLeft" activeCell="D33" sqref="D33"/>
      <selection pane="bottomRight" activeCell="C7" sqref="C7"/>
    </sheetView>
  </sheetViews>
  <sheetFormatPr defaultColWidth="9.140625" defaultRowHeight="12.75" x14ac:dyDescent="0.2"/>
  <cols>
    <col min="1" max="1" width="2.5703125" style="72" customWidth="1"/>
    <col min="2" max="2" width="47.42578125" style="72" customWidth="1"/>
    <col min="3" max="3" width="15.85546875" style="72" customWidth="1"/>
    <col min="4" max="4" width="70.7109375" style="72" hidden="1" customWidth="1"/>
    <col min="5" max="36" width="12.7109375" style="72" customWidth="1"/>
    <col min="37" max="16384" width="9.140625" style="72"/>
  </cols>
  <sheetData>
    <row r="1" spans="1:37" ht="15.75" x14ac:dyDescent="0.25">
      <c r="A1" s="7" t="s">
        <v>84</v>
      </c>
      <c r="B1" s="7"/>
      <c r="C1" s="7"/>
    </row>
    <row r="2" spans="1:37" ht="15" x14ac:dyDescent="0.25">
      <c r="A2" s="12" t="s">
        <v>105</v>
      </c>
      <c r="B2" s="12"/>
      <c r="C2" s="12"/>
    </row>
    <row r="3" spans="1:37" ht="15" x14ac:dyDescent="0.25">
      <c r="A3" s="12" t="s">
        <v>104</v>
      </c>
      <c r="B3" s="12"/>
      <c r="C3" s="12"/>
      <c r="E3" s="73"/>
      <c r="F3" s="73"/>
      <c r="G3" s="73"/>
      <c r="H3" s="73"/>
    </row>
    <row r="4" spans="1:37" x14ac:dyDescent="0.2">
      <c r="A4" s="8" t="str">
        <f>"Plan Year "&amp;cal!B1&amp;" Rates"</f>
        <v>Plan Year 2020 Rates</v>
      </c>
      <c r="B4" s="8"/>
      <c r="C4" s="8"/>
      <c r="E4" s="73"/>
    </row>
    <row r="6" spans="1:37" s="76" customFormat="1" x14ac:dyDescent="0.2">
      <c r="A6" s="74"/>
      <c r="B6" s="75" t="s">
        <v>82</v>
      </c>
      <c r="C6" s="135" t="s">
        <v>25</v>
      </c>
      <c r="D6" s="72"/>
      <c r="G6" s="73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7" s="76" customFormat="1" x14ac:dyDescent="0.2">
      <c r="A7" s="74"/>
      <c r="B7" s="75" t="s">
        <v>81</v>
      </c>
      <c r="C7" s="135" t="s">
        <v>78</v>
      </c>
      <c r="D7" s="72"/>
      <c r="E7" s="77"/>
      <c r="G7" s="73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</row>
    <row r="8" spans="1:37" ht="13.5" thickBot="1" x14ac:dyDescent="0.25">
      <c r="A8" s="78"/>
      <c r="B8" s="78"/>
      <c r="C8" s="78"/>
      <c r="D8" s="79"/>
      <c r="G8" s="73"/>
    </row>
    <row r="9" spans="1:37" s="79" customFormat="1" ht="15.75" customHeight="1" x14ac:dyDescent="0.2">
      <c r="A9" s="80"/>
      <c r="B9" s="81"/>
      <c r="C9" s="82"/>
      <c r="D9" s="82"/>
      <c r="E9" s="136" t="s">
        <v>127</v>
      </c>
      <c r="F9" s="137"/>
      <c r="G9" s="138" t="s">
        <v>51</v>
      </c>
      <c r="H9" s="139"/>
      <c r="I9" s="83" t="s">
        <v>128</v>
      </c>
      <c r="J9" s="84"/>
      <c r="K9" s="84" t="s">
        <v>129</v>
      </c>
      <c r="L9" s="84"/>
      <c r="M9" s="84" t="s">
        <v>130</v>
      </c>
      <c r="N9" s="84"/>
      <c r="O9" s="84" t="s">
        <v>131</v>
      </c>
      <c r="P9" s="84"/>
      <c r="Q9" s="84" t="s">
        <v>132</v>
      </c>
      <c r="R9" s="84"/>
      <c r="S9" s="84" t="s">
        <v>133</v>
      </c>
      <c r="T9" s="84"/>
      <c r="U9" s="84" t="s">
        <v>134</v>
      </c>
      <c r="V9" s="85"/>
      <c r="W9" s="83" t="s">
        <v>120</v>
      </c>
      <c r="X9" s="84"/>
      <c r="Y9" s="84" t="s">
        <v>121</v>
      </c>
      <c r="Z9" s="84"/>
      <c r="AA9" s="84" t="s">
        <v>122</v>
      </c>
      <c r="AB9" s="84"/>
      <c r="AC9" s="84" t="s">
        <v>123</v>
      </c>
      <c r="AD9" s="84"/>
      <c r="AE9" s="84" t="s">
        <v>22</v>
      </c>
      <c r="AF9" s="84"/>
      <c r="AG9" s="84" t="s">
        <v>23</v>
      </c>
      <c r="AH9" s="84"/>
      <c r="AI9" s="84" t="s">
        <v>24</v>
      </c>
      <c r="AJ9" s="86"/>
    </row>
    <row r="10" spans="1:37" s="97" customFormat="1" ht="15.75" customHeight="1" thickBot="1" x14ac:dyDescent="0.25">
      <c r="A10" s="87" t="s">
        <v>83</v>
      </c>
      <c r="B10" s="88"/>
      <c r="C10" s="89"/>
      <c r="D10" s="90"/>
      <c r="E10" s="91" t="s">
        <v>52</v>
      </c>
      <c r="F10" s="92" t="s">
        <v>38</v>
      </c>
      <c r="G10" s="93" t="s">
        <v>52</v>
      </c>
      <c r="H10" s="94" t="s">
        <v>38</v>
      </c>
      <c r="I10" s="91" t="s">
        <v>52</v>
      </c>
      <c r="J10" s="92" t="s">
        <v>38</v>
      </c>
      <c r="K10" s="92" t="str">
        <f>$I$10</f>
        <v>MA PREM</v>
      </c>
      <c r="L10" s="92" t="str">
        <f>$J$10</f>
        <v>MA STD</v>
      </c>
      <c r="M10" s="92" t="str">
        <f t="shared" ref="M10" si="0">$I$10</f>
        <v>MA PREM</v>
      </c>
      <c r="N10" s="92" t="str">
        <f t="shared" ref="N10" si="1">$J$10</f>
        <v>MA STD</v>
      </c>
      <c r="O10" s="92" t="str">
        <f t="shared" ref="O10" si="2">$I$10</f>
        <v>MA PREM</v>
      </c>
      <c r="P10" s="92" t="str">
        <f t="shared" ref="P10" si="3">$J$10</f>
        <v>MA STD</v>
      </c>
      <c r="Q10" s="92" t="str">
        <f t="shared" ref="Q10" si="4">$I$10</f>
        <v>MA PREM</v>
      </c>
      <c r="R10" s="92" t="str">
        <f t="shared" ref="R10" si="5">$J$10</f>
        <v>MA STD</v>
      </c>
      <c r="S10" s="92" t="str">
        <f t="shared" ref="S10" si="6">$I$10</f>
        <v>MA PREM</v>
      </c>
      <c r="T10" s="92" t="str">
        <f t="shared" ref="T10" si="7">$J$10</f>
        <v>MA STD</v>
      </c>
      <c r="U10" s="92" t="str">
        <f t="shared" ref="U10" si="8">$I$10</f>
        <v>MA PREM</v>
      </c>
      <c r="V10" s="95" t="str">
        <f t="shared" ref="V10" si="9">$J$10</f>
        <v>MA STD</v>
      </c>
      <c r="W10" s="91" t="str">
        <f t="shared" ref="W10" si="10">$I$10</f>
        <v>MA PREM</v>
      </c>
      <c r="X10" s="92" t="str">
        <f t="shared" ref="X10" si="11">$J$10</f>
        <v>MA STD</v>
      </c>
      <c r="Y10" s="92" t="str">
        <f t="shared" ref="Y10" si="12">$I$10</f>
        <v>MA PREM</v>
      </c>
      <c r="Z10" s="92" t="str">
        <f t="shared" ref="Z10" si="13">$J$10</f>
        <v>MA STD</v>
      </c>
      <c r="AA10" s="92" t="str">
        <f t="shared" ref="AA10" si="14">$I$10</f>
        <v>MA PREM</v>
      </c>
      <c r="AB10" s="92" t="str">
        <f t="shared" ref="AB10" si="15">$J$10</f>
        <v>MA STD</v>
      </c>
      <c r="AC10" s="92" t="str">
        <f t="shared" ref="AC10:AI10" si="16">$I$10</f>
        <v>MA PREM</v>
      </c>
      <c r="AD10" s="92" t="str">
        <f t="shared" ref="AD10:AJ10" si="17">$J$10</f>
        <v>MA STD</v>
      </c>
      <c r="AE10" s="92" t="str">
        <f t="shared" si="16"/>
        <v>MA PREM</v>
      </c>
      <c r="AF10" s="92" t="str">
        <f t="shared" si="17"/>
        <v>MA STD</v>
      </c>
      <c r="AG10" s="92" t="str">
        <f t="shared" si="16"/>
        <v>MA PREM</v>
      </c>
      <c r="AH10" s="92" t="str">
        <f t="shared" si="17"/>
        <v>MA STD</v>
      </c>
      <c r="AI10" s="92" t="str">
        <f t="shared" si="16"/>
        <v>MA PREM</v>
      </c>
      <c r="AJ10" s="96" t="str">
        <f t="shared" si="17"/>
        <v>MA STD</v>
      </c>
    </row>
    <row r="11" spans="1:37" x14ac:dyDescent="0.2">
      <c r="A11" s="98" t="s">
        <v>85</v>
      </c>
      <c r="B11" s="99"/>
      <c r="C11" s="100"/>
      <c r="D11" s="101"/>
      <c r="E11" s="102"/>
      <c r="F11" s="103"/>
      <c r="G11" s="104"/>
      <c r="H11" s="105"/>
      <c r="I11" s="102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6"/>
      <c r="W11" s="102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5"/>
    </row>
    <row r="12" spans="1:37" x14ac:dyDescent="0.2">
      <c r="A12" s="107"/>
      <c r="B12" s="72" t="s">
        <v>106</v>
      </c>
      <c r="C12" s="108"/>
      <c r="D12" s="108" t="s">
        <v>86</v>
      </c>
      <c r="E12" s="109">
        <f>IF($C$6="Retirees",1,1.02)*cal!D92</f>
        <v>363.8</v>
      </c>
      <c r="F12" s="110">
        <f>IF($C$6="Retirees",1,1.02)*cal!E92</f>
        <v>146.15</v>
      </c>
      <c r="G12" s="111">
        <f>IF($C$6="Retirees",1,1.02)*cal!F92</f>
        <v>309.2</v>
      </c>
      <c r="H12" s="112">
        <f>IF($C$6="Retirees",1,1.02)*cal!G92</f>
        <v>20</v>
      </c>
      <c r="I12" s="109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3"/>
      <c r="W12" s="109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2"/>
    </row>
    <row r="13" spans="1:37" ht="6" customHeight="1" x14ac:dyDescent="0.2">
      <c r="A13" s="114"/>
      <c r="B13" s="115"/>
      <c r="C13" s="116"/>
      <c r="D13" s="108"/>
      <c r="E13" s="109"/>
      <c r="F13" s="110"/>
      <c r="G13" s="111"/>
      <c r="H13" s="112"/>
      <c r="I13" s="109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3"/>
      <c r="W13" s="109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2"/>
    </row>
    <row r="14" spans="1:37" x14ac:dyDescent="0.2">
      <c r="A14" s="117" t="s">
        <v>26</v>
      </c>
      <c r="B14" s="118"/>
      <c r="C14" s="119"/>
      <c r="D14" s="120"/>
      <c r="E14" s="121"/>
      <c r="F14" s="122"/>
      <c r="G14" s="123"/>
      <c r="H14" s="124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5"/>
      <c r="W14" s="121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4"/>
    </row>
    <row r="15" spans="1:37" x14ac:dyDescent="0.2">
      <c r="A15" s="114"/>
      <c r="B15" s="115" t="s">
        <v>107</v>
      </c>
      <c r="C15" s="116"/>
      <c r="D15" s="108" t="s">
        <v>88</v>
      </c>
      <c r="E15" s="109"/>
      <c r="F15" s="110"/>
      <c r="G15" s="111"/>
      <c r="H15" s="112"/>
      <c r="I15" s="109">
        <f>IF($C$6="Retirees",1,1.02)*cal!H95</f>
        <v>1188.33</v>
      </c>
      <c r="J15" s="110">
        <f>IF($C$6="Retirees",1,1.02)*cal!I95</f>
        <v>970.68</v>
      </c>
      <c r="K15" s="110">
        <f>IF($C$6="Retirees",1,1.02)*cal!J95</f>
        <v>1119.07</v>
      </c>
      <c r="L15" s="110">
        <f>IF($C$6="Retirees",1,1.02)*cal!K95</f>
        <v>901.42</v>
      </c>
      <c r="M15" s="110">
        <f>IF($C$6="Retirees",1,1.02)*cal!L95</f>
        <v>1074.6000000000001</v>
      </c>
      <c r="N15" s="110">
        <f>IF($C$6="Retirees",1,1.02)*cal!M95</f>
        <v>856.95</v>
      </c>
      <c r="O15" s="110">
        <f>IF($C$6="Retirees",1,1.02)*cal!N95</f>
        <v>1149.75</v>
      </c>
      <c r="P15" s="110">
        <f>IF($C$6="Retirees",1,1.02)*cal!O95</f>
        <v>932.1</v>
      </c>
      <c r="Q15" s="110">
        <f>IF($C$6="Retirees",1,1.02)*cal!P95</f>
        <v>1187.78</v>
      </c>
      <c r="R15" s="110">
        <f>IF($C$6="Retirees",1,1.02)*cal!Q95</f>
        <v>970.13</v>
      </c>
      <c r="S15" s="110">
        <f>IF($C$6="Retirees",1,1.02)*cal!R95</f>
        <v>1054.6200000000001</v>
      </c>
      <c r="T15" s="110">
        <f>IF($C$6="Retirees",1,1.02)*cal!S95</f>
        <v>836.97</v>
      </c>
      <c r="U15" s="110">
        <f>IF($C$6="Retirees",1,1.02)*cal!T95</f>
        <v>997.3</v>
      </c>
      <c r="V15" s="113">
        <f>IF($C$6="Retirees",1,1.02)*cal!U95</f>
        <v>779.65</v>
      </c>
      <c r="W15" s="109">
        <f>IF($C$6="Retirees",1,1.02)*cal!V95</f>
        <v>1133.73</v>
      </c>
      <c r="X15" s="110">
        <f>IF($C$6="Retirees",1,1.02)*cal!W95</f>
        <v>844.53</v>
      </c>
      <c r="Y15" s="110">
        <f>IF($C$6="Retirees",1,1.02)*cal!X95</f>
        <v>1064.47</v>
      </c>
      <c r="Z15" s="110">
        <f>IF($C$6="Retirees",1,1.02)*cal!Y95</f>
        <v>775.27</v>
      </c>
      <c r="AA15" s="110">
        <f>IF($C$6="Retirees",1,1.02)*cal!Z95</f>
        <v>1020</v>
      </c>
      <c r="AB15" s="110">
        <f>IF($C$6="Retirees",1,1.02)*cal!AA95</f>
        <v>730.80000000000007</v>
      </c>
      <c r="AC15" s="110">
        <f>IF($C$6="Retirees",1,1.02)*cal!AB95</f>
        <v>1095.1500000000001</v>
      </c>
      <c r="AD15" s="110">
        <f>IF($C$6="Retirees",1,1.02)*cal!AC95</f>
        <v>805.95</v>
      </c>
      <c r="AE15" s="110">
        <f>IF($C$6="Retirees",1,1.02)*cal!AD95</f>
        <v>1133.18</v>
      </c>
      <c r="AF15" s="110">
        <f>IF($C$6="Retirees",1,1.02)*cal!AE95</f>
        <v>843.98</v>
      </c>
      <c r="AG15" s="110">
        <f>IF($C$6="Retirees",1,1.02)*cal!AF95</f>
        <v>1000.02</v>
      </c>
      <c r="AH15" s="110">
        <f>IF($C$6="Retirees",1,1.02)*cal!AG95</f>
        <v>710.82</v>
      </c>
      <c r="AI15" s="110">
        <f>IF($C$6="Retirees",1,1.02)*cal!AH95</f>
        <v>942.7</v>
      </c>
      <c r="AJ15" s="112">
        <f>IF($C$6="Retirees",1,1.02)*cal!AI95</f>
        <v>653.5</v>
      </c>
    </row>
    <row r="16" spans="1:37" x14ac:dyDescent="0.2">
      <c r="A16" s="114"/>
      <c r="B16" s="115" t="s">
        <v>108</v>
      </c>
      <c r="C16" s="116"/>
      <c r="D16" s="108" t="s">
        <v>87</v>
      </c>
      <c r="E16" s="109"/>
      <c r="F16" s="110"/>
      <c r="G16" s="111"/>
      <c r="H16" s="112"/>
      <c r="I16" s="109">
        <f>IF($C$6="Retirees",1,1.02)*cal!H96</f>
        <v>1113.3700000000001</v>
      </c>
      <c r="J16" s="110">
        <f>IF($C$6="Retirees",1,1.02)*cal!I96</f>
        <v>895.72</v>
      </c>
      <c r="K16" s="110">
        <f>IF($C$6="Retirees",1,1.02)*cal!J96</f>
        <v>1050.4100000000001</v>
      </c>
      <c r="L16" s="110">
        <f>IF($C$6="Retirees",1,1.02)*cal!K96</f>
        <v>832.76</v>
      </c>
      <c r="M16" s="110">
        <f>IF($C$6="Retirees",1,1.02)*cal!L96</f>
        <v>1009.98</v>
      </c>
      <c r="N16" s="110">
        <f>IF($C$6="Retirees",1,1.02)*cal!M96</f>
        <v>792.32999999999993</v>
      </c>
      <c r="O16" s="110">
        <f>IF($C$6="Retirees",1,1.02)*cal!N96</f>
        <v>1078.3</v>
      </c>
      <c r="P16" s="110">
        <f>IF($C$6="Retirees",1,1.02)*cal!O96</f>
        <v>860.65</v>
      </c>
      <c r="Q16" s="110">
        <f>IF($C$6="Retirees",1,1.02)*cal!P96</f>
        <v>1112.8700000000001</v>
      </c>
      <c r="R16" s="110">
        <f>IF($C$6="Retirees",1,1.02)*cal!Q96</f>
        <v>895.22</v>
      </c>
      <c r="S16" s="110">
        <f>IF($C$6="Retirees",1,1.02)*cal!R96</f>
        <v>991.81999999999994</v>
      </c>
      <c r="T16" s="110">
        <f>IF($C$6="Retirees",1,1.02)*cal!S96</f>
        <v>774.17</v>
      </c>
      <c r="U16" s="110">
        <f>IF($C$6="Retirees",1,1.02)*cal!T96</f>
        <v>997.3</v>
      </c>
      <c r="V16" s="113">
        <f>IF($C$6="Retirees",1,1.02)*cal!U96</f>
        <v>779.65</v>
      </c>
      <c r="W16" s="109">
        <f>IF($C$6="Retirees",1,1.02)*cal!V96</f>
        <v>1058.77</v>
      </c>
      <c r="X16" s="110">
        <f>IF($C$6="Retirees",1,1.02)*cal!W96</f>
        <v>769.57</v>
      </c>
      <c r="Y16" s="110">
        <f>IF($C$6="Retirees",1,1.02)*cal!X96</f>
        <v>995.81</v>
      </c>
      <c r="Z16" s="110">
        <f>IF($C$6="Retirees",1,1.02)*cal!Y96</f>
        <v>706.61</v>
      </c>
      <c r="AA16" s="110">
        <f>IF($C$6="Retirees",1,1.02)*cal!Z96</f>
        <v>955.37999999999988</v>
      </c>
      <c r="AB16" s="110">
        <f>IF($C$6="Retirees",1,1.02)*cal!AA96</f>
        <v>666.18</v>
      </c>
      <c r="AC16" s="110">
        <f>IF($C$6="Retirees",1,1.02)*cal!AB96</f>
        <v>1023.7</v>
      </c>
      <c r="AD16" s="110">
        <f>IF($C$6="Retirees",1,1.02)*cal!AC96</f>
        <v>734.5</v>
      </c>
      <c r="AE16" s="110">
        <f>IF($C$6="Retirees",1,1.02)*cal!AD96</f>
        <v>1058.27</v>
      </c>
      <c r="AF16" s="110">
        <f>IF($C$6="Retirees",1,1.02)*cal!AE96</f>
        <v>769.07</v>
      </c>
      <c r="AG16" s="110">
        <f>IF($C$6="Retirees",1,1.02)*cal!AF96</f>
        <v>937.22</v>
      </c>
      <c r="AH16" s="110">
        <f>IF($C$6="Retirees",1,1.02)*cal!AG96</f>
        <v>648.02</v>
      </c>
      <c r="AI16" s="110">
        <f>IF($C$6="Retirees",1,1.02)*cal!AH96</f>
        <v>942.7</v>
      </c>
      <c r="AJ16" s="112">
        <f>IF($C$6="Retirees",1,1.02)*cal!AI96</f>
        <v>653.5</v>
      </c>
    </row>
    <row r="17" spans="1:36" x14ac:dyDescent="0.2">
      <c r="A17" s="114"/>
      <c r="B17" s="115" t="s">
        <v>109</v>
      </c>
      <c r="C17" s="116"/>
      <c r="D17" s="108" t="s">
        <v>89</v>
      </c>
      <c r="E17" s="109">
        <f>IF($C$6="Retirees",1,1.02)*cal!D97</f>
        <v>727.6</v>
      </c>
      <c r="F17" s="110">
        <f>IF($C$6="Retirees",1,1.02)*cal!E97</f>
        <v>292.3</v>
      </c>
      <c r="G17" s="111">
        <f>IF($C$6="Retirees",1,1.02)*cal!F97</f>
        <v>618.4</v>
      </c>
      <c r="H17" s="112">
        <f>IF($C$6="Retirees",1,1.02)*cal!G97</f>
        <v>40</v>
      </c>
      <c r="I17" s="109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3"/>
      <c r="W17" s="109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2"/>
    </row>
    <row r="18" spans="1:36" ht="6" customHeight="1" x14ac:dyDescent="0.2">
      <c r="A18" s="114"/>
      <c r="B18" s="115"/>
      <c r="C18" s="116"/>
      <c r="D18" s="108"/>
      <c r="E18" s="109"/>
      <c r="F18" s="110"/>
      <c r="G18" s="111"/>
      <c r="H18" s="112"/>
      <c r="I18" s="109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3"/>
      <c r="W18" s="109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2"/>
    </row>
    <row r="19" spans="1:36" x14ac:dyDescent="0.2">
      <c r="A19" s="117" t="s">
        <v>101</v>
      </c>
      <c r="B19" s="118"/>
      <c r="C19" s="119"/>
      <c r="D19" s="120"/>
      <c r="E19" s="121"/>
      <c r="F19" s="122"/>
      <c r="G19" s="123"/>
      <c r="H19" s="124"/>
      <c r="I19" s="12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5"/>
      <c r="W19" s="121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4"/>
    </row>
    <row r="20" spans="1:36" x14ac:dyDescent="0.2">
      <c r="A20" s="114"/>
      <c r="B20" s="115" t="s">
        <v>110</v>
      </c>
      <c r="C20" s="116"/>
      <c r="D20" s="108" t="s">
        <v>92</v>
      </c>
      <c r="E20" s="109"/>
      <c r="F20" s="110"/>
      <c r="G20" s="111"/>
      <c r="H20" s="112"/>
      <c r="I20" s="109">
        <f>IF($C$6="Retirees",1,1.02)*cal!H100</f>
        <v>888.5</v>
      </c>
      <c r="J20" s="110">
        <f>IF($C$6="Retirees",1,1.02)*cal!I100</f>
        <v>670.85</v>
      </c>
      <c r="K20" s="110">
        <f>IF($C$6="Retirees",1,1.02)*cal!J100</f>
        <v>844.43000000000006</v>
      </c>
      <c r="L20" s="110">
        <f>IF($C$6="Retirees",1,1.02)*cal!K100</f>
        <v>626.78</v>
      </c>
      <c r="M20" s="110">
        <f>IF($C$6="Retirees",1,1.02)*cal!L100</f>
        <v>816.13000000000011</v>
      </c>
      <c r="N20" s="110">
        <f>IF($C$6="Retirees",1,1.02)*cal!M100</f>
        <v>598.48</v>
      </c>
      <c r="O20" s="110">
        <f>IF($C$6="Retirees",1,1.02)*cal!N100</f>
        <v>863.95</v>
      </c>
      <c r="P20" s="110">
        <f>IF($C$6="Retirees",1,1.02)*cal!O100</f>
        <v>646.29999999999995</v>
      </c>
      <c r="Q20" s="110">
        <f>IF($C$6="Retirees",1,1.02)*cal!P100</f>
        <v>888.15000000000009</v>
      </c>
      <c r="R20" s="110">
        <f>IF($C$6="Retirees",1,1.02)*cal!Q100</f>
        <v>670.5</v>
      </c>
      <c r="S20" s="110">
        <f>IF($C$6="Retirees",1,1.02)*cal!R100</f>
        <v>803.41000000000008</v>
      </c>
      <c r="T20" s="110">
        <f>IF($C$6="Retirees",1,1.02)*cal!S100</f>
        <v>585.76</v>
      </c>
      <c r="U20" s="110">
        <f>IF($C$6="Retirees",1,1.02)*cal!T100</f>
        <v>807.25</v>
      </c>
      <c r="V20" s="113">
        <f>IF($C$6="Retirees",1,1.02)*cal!U100</f>
        <v>589.6</v>
      </c>
      <c r="W20" s="109">
        <f>IF($C$6="Retirees",1,1.02)*cal!V100</f>
        <v>833.90000000000009</v>
      </c>
      <c r="X20" s="110">
        <f>IF($C$6="Retirees",1,1.02)*cal!W100</f>
        <v>544.70000000000005</v>
      </c>
      <c r="Y20" s="110">
        <f>IF($C$6="Retirees",1,1.02)*cal!X100</f>
        <v>789.82999999999993</v>
      </c>
      <c r="Z20" s="110">
        <f>IF($C$6="Retirees",1,1.02)*cal!Y100</f>
        <v>500.63</v>
      </c>
      <c r="AA20" s="110">
        <f>IF($C$6="Retirees",1,1.02)*cal!Z100</f>
        <v>761.53</v>
      </c>
      <c r="AB20" s="110">
        <f>IF($C$6="Retirees",1,1.02)*cal!AA100</f>
        <v>472.33000000000004</v>
      </c>
      <c r="AC20" s="110">
        <f>IF($C$6="Retirees",1,1.02)*cal!AB100</f>
        <v>809.34999999999991</v>
      </c>
      <c r="AD20" s="110">
        <f>IF($C$6="Retirees",1,1.02)*cal!AC100</f>
        <v>520.15</v>
      </c>
      <c r="AE20" s="110">
        <f>IF($C$6="Retirees",1,1.02)*cal!AD100</f>
        <v>833.55</v>
      </c>
      <c r="AF20" s="110">
        <f>IF($C$6="Retirees",1,1.02)*cal!AE100</f>
        <v>544.35</v>
      </c>
      <c r="AG20" s="110">
        <f>IF($C$6="Retirees",1,1.02)*cal!AF100</f>
        <v>748.81</v>
      </c>
      <c r="AH20" s="110">
        <f>IF($C$6="Retirees",1,1.02)*cal!AG100</f>
        <v>459.61</v>
      </c>
      <c r="AI20" s="110">
        <f>IF($C$6="Retirees",1,1.02)*cal!AH100</f>
        <v>752.65000000000009</v>
      </c>
      <c r="AJ20" s="112">
        <f>IF($C$6="Retirees",1,1.02)*cal!AI100</f>
        <v>463.45000000000005</v>
      </c>
    </row>
    <row r="21" spans="1:36" ht="6" customHeight="1" x14ac:dyDescent="0.2">
      <c r="A21" s="114"/>
      <c r="B21" s="115"/>
      <c r="C21" s="116"/>
      <c r="D21" s="108"/>
      <c r="E21" s="109"/>
      <c r="F21" s="110"/>
      <c r="G21" s="111"/>
      <c r="H21" s="112"/>
      <c r="I21" s="109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3"/>
      <c r="W21" s="109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2"/>
    </row>
    <row r="22" spans="1:36" x14ac:dyDescent="0.2">
      <c r="A22" s="117" t="s">
        <v>100</v>
      </c>
      <c r="B22" s="118"/>
      <c r="C22" s="119"/>
      <c r="D22" s="120"/>
      <c r="E22" s="121"/>
      <c r="F22" s="122"/>
      <c r="G22" s="123"/>
      <c r="H22" s="124"/>
      <c r="I22" s="121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5"/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4"/>
    </row>
    <row r="23" spans="1:36" x14ac:dyDescent="0.2">
      <c r="A23" s="114"/>
      <c r="B23" s="115" t="s">
        <v>111</v>
      </c>
      <c r="C23" s="116"/>
      <c r="D23" s="108" t="s">
        <v>90</v>
      </c>
      <c r="E23" s="109"/>
      <c r="F23" s="110"/>
      <c r="G23" s="111"/>
      <c r="H23" s="112"/>
      <c r="I23" s="109">
        <f>IF($C$6="Retirees",1,1.02)*cal!H103</f>
        <v>1113.3700000000001</v>
      </c>
      <c r="J23" s="110">
        <f>IF($C$6="Retirees",1,1.02)*cal!I103</f>
        <v>895.72</v>
      </c>
      <c r="K23" s="110">
        <f>IF($C$6="Retirees",1,1.02)*cal!J103</f>
        <v>1050.4100000000001</v>
      </c>
      <c r="L23" s="110">
        <f>IF($C$6="Retirees",1,1.02)*cal!K103</f>
        <v>832.76</v>
      </c>
      <c r="M23" s="110">
        <f>IF($C$6="Retirees",1,1.02)*cal!L103</f>
        <v>1009.98</v>
      </c>
      <c r="N23" s="110">
        <f>IF($C$6="Retirees",1,1.02)*cal!M103</f>
        <v>792.32999999999993</v>
      </c>
      <c r="O23" s="110">
        <f>IF($C$6="Retirees",1,1.02)*cal!N103</f>
        <v>1078.3</v>
      </c>
      <c r="P23" s="110">
        <f>IF($C$6="Retirees",1,1.02)*cal!O103</f>
        <v>860.65</v>
      </c>
      <c r="Q23" s="110">
        <f>IF($C$6="Retirees",1,1.02)*cal!P103</f>
        <v>1112.8700000000001</v>
      </c>
      <c r="R23" s="110">
        <f>IF($C$6="Retirees",1,1.02)*cal!Q103</f>
        <v>895.22</v>
      </c>
      <c r="S23" s="110">
        <f>IF($C$6="Retirees",1,1.02)*cal!R103</f>
        <v>991.81999999999994</v>
      </c>
      <c r="T23" s="110">
        <f>IF($C$6="Retirees",1,1.02)*cal!S103</f>
        <v>774.17</v>
      </c>
      <c r="U23" s="110">
        <f>IF($C$6="Retirees",1,1.02)*cal!T103</f>
        <v>997.3</v>
      </c>
      <c r="V23" s="113">
        <f>IF($C$6="Retirees",1,1.02)*cal!U103</f>
        <v>779.65</v>
      </c>
      <c r="W23" s="109">
        <f>IF($C$6="Retirees",1,1.02)*cal!V103</f>
        <v>1058.77</v>
      </c>
      <c r="X23" s="110">
        <f>IF($C$6="Retirees",1,1.02)*cal!W103</f>
        <v>769.57</v>
      </c>
      <c r="Y23" s="110">
        <f>IF($C$6="Retirees",1,1.02)*cal!X103</f>
        <v>995.81</v>
      </c>
      <c r="Z23" s="110">
        <f>IF($C$6="Retirees",1,1.02)*cal!Y103</f>
        <v>706.61</v>
      </c>
      <c r="AA23" s="110">
        <f>IF($C$6="Retirees",1,1.02)*cal!Z103</f>
        <v>955.37999999999988</v>
      </c>
      <c r="AB23" s="110">
        <f>IF($C$6="Retirees",1,1.02)*cal!AA103</f>
        <v>666.18</v>
      </c>
      <c r="AC23" s="110">
        <f>IF($C$6="Retirees",1,1.02)*cal!AB103</f>
        <v>1023.7</v>
      </c>
      <c r="AD23" s="110">
        <f>IF($C$6="Retirees",1,1.02)*cal!AC103</f>
        <v>734.5</v>
      </c>
      <c r="AE23" s="110">
        <f>IF($C$6="Retirees",1,1.02)*cal!AD103</f>
        <v>1058.27</v>
      </c>
      <c r="AF23" s="110">
        <f>IF($C$6="Retirees",1,1.02)*cal!AE103</f>
        <v>769.07</v>
      </c>
      <c r="AG23" s="110">
        <f>IF($C$6="Retirees",1,1.02)*cal!AF103</f>
        <v>937.22</v>
      </c>
      <c r="AH23" s="110">
        <f>IF($C$6="Retirees",1,1.02)*cal!AG103</f>
        <v>648.02</v>
      </c>
      <c r="AI23" s="110">
        <f>IF($C$6="Retirees",1,1.02)*cal!AH103</f>
        <v>942.7</v>
      </c>
      <c r="AJ23" s="112">
        <f>IF($C$6="Retirees",1,1.02)*cal!AI103</f>
        <v>653.5</v>
      </c>
    </row>
    <row r="24" spans="1:36" x14ac:dyDescent="0.2">
      <c r="A24" s="114"/>
      <c r="B24" s="115" t="s">
        <v>112</v>
      </c>
      <c r="C24" s="116"/>
      <c r="D24" s="108" t="s">
        <v>91</v>
      </c>
      <c r="E24" s="109">
        <f>IF($C$6="Retirees",1,1.02)*cal!D104</f>
        <v>727.6</v>
      </c>
      <c r="F24" s="110">
        <f>IF($C$6="Retirees",1,1.02)*cal!E104</f>
        <v>292.3</v>
      </c>
      <c r="G24" s="111">
        <f>IF($C$6="Retirees",1,1.02)*cal!F104</f>
        <v>618.4</v>
      </c>
      <c r="H24" s="112">
        <f>IF($C$6="Retirees",1,1.02)*cal!G104</f>
        <v>40</v>
      </c>
      <c r="I24" s="109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3"/>
      <c r="W24" s="109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2"/>
    </row>
    <row r="25" spans="1:36" ht="6" customHeight="1" x14ac:dyDescent="0.2">
      <c r="A25" s="114"/>
      <c r="B25" s="115"/>
      <c r="C25" s="116"/>
      <c r="D25" s="108"/>
      <c r="E25" s="109"/>
      <c r="F25" s="110"/>
      <c r="G25" s="111"/>
      <c r="H25" s="112"/>
      <c r="I25" s="109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3"/>
      <c r="W25" s="109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2"/>
    </row>
    <row r="26" spans="1:36" x14ac:dyDescent="0.2">
      <c r="A26" s="117" t="s">
        <v>103</v>
      </c>
      <c r="B26" s="118"/>
      <c r="C26" s="119"/>
      <c r="D26" s="120"/>
      <c r="E26" s="121"/>
      <c r="F26" s="122"/>
      <c r="G26" s="123"/>
      <c r="H26" s="124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5"/>
      <c r="W26" s="121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4"/>
    </row>
    <row r="27" spans="1:36" x14ac:dyDescent="0.2">
      <c r="A27" s="114"/>
      <c r="B27" s="115" t="s">
        <v>113</v>
      </c>
      <c r="C27" s="116"/>
      <c r="D27" s="108" t="s">
        <v>96</v>
      </c>
      <c r="E27" s="109"/>
      <c r="F27" s="110"/>
      <c r="G27" s="111"/>
      <c r="H27" s="112"/>
      <c r="I27" s="109">
        <f>IF($C$6="Retirees",1,1.02)*cal!H107</f>
        <v>1713.03</v>
      </c>
      <c r="J27" s="110">
        <f>IF($C$6="Retirees",1,1.02)*cal!I107</f>
        <v>1495.38</v>
      </c>
      <c r="K27" s="110">
        <f>IF($C$6="Retirees",1,1.02)*cal!J107</f>
        <v>1599.7</v>
      </c>
      <c r="L27" s="110">
        <f>IF($C$6="Retirees",1,1.02)*cal!K107</f>
        <v>1382.0500000000002</v>
      </c>
      <c r="M27" s="110">
        <f>IF($C$6="Retirees",1,1.02)*cal!L107</f>
        <v>1526.93</v>
      </c>
      <c r="N27" s="110">
        <f>IF($C$6="Retirees",1,1.02)*cal!M107</f>
        <v>1309.2800000000002</v>
      </c>
      <c r="O27" s="110">
        <f>IF($C$6="Retirees",1,1.02)*cal!N107</f>
        <v>1649.8999999999999</v>
      </c>
      <c r="P27" s="110">
        <f>IF($C$6="Retirees",1,1.02)*cal!O107</f>
        <v>1432.25</v>
      </c>
      <c r="Q27" s="110">
        <f>IF($C$6="Retirees",1,1.02)*cal!P107</f>
        <v>1712.1299999999999</v>
      </c>
      <c r="R27" s="110">
        <f>IF($C$6="Retirees",1,1.02)*cal!Q107</f>
        <v>1494.48</v>
      </c>
      <c r="S27" s="110">
        <f>IF($C$6="Retirees",1,1.02)*cal!R107</f>
        <v>1494.23</v>
      </c>
      <c r="T27" s="110">
        <f>IF($C$6="Retirees",1,1.02)*cal!S107</f>
        <v>1276.5800000000002</v>
      </c>
      <c r="U27" s="110">
        <f>IF($C$6="Retirees",1,1.02)*cal!T107</f>
        <v>1440.75</v>
      </c>
      <c r="V27" s="113">
        <f>IF($C$6="Retirees",1,1.02)*cal!U107</f>
        <v>1223.1000000000001</v>
      </c>
      <c r="W27" s="109">
        <f>IF($C$6="Retirees",1,1.02)*cal!V107</f>
        <v>1658.43</v>
      </c>
      <c r="X27" s="110">
        <f>IF($C$6="Retirees",1,1.02)*cal!W107</f>
        <v>1369.23</v>
      </c>
      <c r="Y27" s="110">
        <f>IF($C$6="Retirees",1,1.02)*cal!X107</f>
        <v>1545.1000000000001</v>
      </c>
      <c r="Z27" s="110">
        <f>IF($C$6="Retirees",1,1.02)*cal!Y107</f>
        <v>1255.9000000000001</v>
      </c>
      <c r="AA27" s="110">
        <f>IF($C$6="Retirees",1,1.02)*cal!Z107</f>
        <v>1472.3300000000002</v>
      </c>
      <c r="AB27" s="110">
        <f>IF($C$6="Retirees",1,1.02)*cal!AA107</f>
        <v>1183.1300000000001</v>
      </c>
      <c r="AC27" s="110">
        <f>IF($C$6="Retirees",1,1.02)*cal!AB107</f>
        <v>1595.3</v>
      </c>
      <c r="AD27" s="110">
        <f>IF($C$6="Retirees",1,1.02)*cal!AC107</f>
        <v>1306.0999999999999</v>
      </c>
      <c r="AE27" s="110">
        <f>IF($C$6="Retirees",1,1.02)*cal!AD107</f>
        <v>1657.53</v>
      </c>
      <c r="AF27" s="110">
        <f>IF($C$6="Retirees",1,1.02)*cal!AE107</f>
        <v>1368.33</v>
      </c>
      <c r="AG27" s="110">
        <f>IF($C$6="Retirees",1,1.02)*cal!AF107</f>
        <v>1439.63</v>
      </c>
      <c r="AH27" s="110">
        <f>IF($C$6="Retirees",1,1.02)*cal!AG107</f>
        <v>1150.43</v>
      </c>
      <c r="AI27" s="110">
        <f>IF($C$6="Retirees",1,1.02)*cal!AH107</f>
        <v>1386.15</v>
      </c>
      <c r="AJ27" s="112">
        <f>IF($C$6="Retirees",1,1.02)*cal!AI107</f>
        <v>1096.95</v>
      </c>
    </row>
    <row r="28" spans="1:36" x14ac:dyDescent="0.2">
      <c r="A28" s="114"/>
      <c r="B28" s="115" t="s">
        <v>114</v>
      </c>
      <c r="C28" s="116"/>
      <c r="D28" s="108" t="s">
        <v>94</v>
      </c>
      <c r="E28" s="109"/>
      <c r="F28" s="110"/>
      <c r="G28" s="111"/>
      <c r="H28" s="112"/>
      <c r="I28" s="109">
        <f>IF($C$6="Retirees",1,1.02)*cal!H108</f>
        <v>1638.07</v>
      </c>
      <c r="J28" s="110">
        <f>IF($C$6="Retirees",1,1.02)*cal!I108</f>
        <v>1420.42</v>
      </c>
      <c r="K28" s="110">
        <f>IF($C$6="Retirees",1,1.02)*cal!J108</f>
        <v>1531.04</v>
      </c>
      <c r="L28" s="110">
        <f>IF($C$6="Retirees",1,1.02)*cal!K108</f>
        <v>1313.39</v>
      </c>
      <c r="M28" s="110">
        <f>IF($C$6="Retirees",1,1.02)*cal!L108</f>
        <v>1462.31</v>
      </c>
      <c r="N28" s="110">
        <f>IF($C$6="Retirees",1,1.02)*cal!M108</f>
        <v>1244.6600000000001</v>
      </c>
      <c r="O28" s="110">
        <f>IF($C$6="Retirees",1,1.02)*cal!N108</f>
        <v>1578.45</v>
      </c>
      <c r="P28" s="110">
        <f>IF($C$6="Retirees",1,1.02)*cal!O108</f>
        <v>1360.8000000000002</v>
      </c>
      <c r="Q28" s="110">
        <f>IF($C$6="Retirees",1,1.02)*cal!P108</f>
        <v>1637.22</v>
      </c>
      <c r="R28" s="110">
        <f>IF($C$6="Retirees",1,1.02)*cal!Q108</f>
        <v>1419.5700000000002</v>
      </c>
      <c r="S28" s="110">
        <f>IF($C$6="Retirees",1,1.02)*cal!R108</f>
        <v>1431.43</v>
      </c>
      <c r="T28" s="110">
        <f>IF($C$6="Retirees",1,1.02)*cal!S108</f>
        <v>1213.7800000000002</v>
      </c>
      <c r="U28" s="110">
        <f>IF($C$6="Retirees",1,1.02)*cal!T108</f>
        <v>1440.75</v>
      </c>
      <c r="V28" s="113">
        <f>IF($C$6="Retirees",1,1.02)*cal!U108</f>
        <v>1223.1000000000001</v>
      </c>
      <c r="W28" s="109">
        <f>IF($C$6="Retirees",1,1.02)*cal!V108</f>
        <v>1583.47</v>
      </c>
      <c r="X28" s="110">
        <f>IF($C$6="Retirees",1,1.02)*cal!W108</f>
        <v>1294.27</v>
      </c>
      <c r="Y28" s="110">
        <f>IF($C$6="Retirees",1,1.02)*cal!X108</f>
        <v>1476.44</v>
      </c>
      <c r="Z28" s="110">
        <f>IF($C$6="Retirees",1,1.02)*cal!Y108</f>
        <v>1187.24</v>
      </c>
      <c r="AA28" s="110">
        <f>IF($C$6="Retirees",1,1.02)*cal!Z108</f>
        <v>1407.71</v>
      </c>
      <c r="AB28" s="110">
        <f>IF($C$6="Retirees",1,1.02)*cal!AA108</f>
        <v>1118.51</v>
      </c>
      <c r="AC28" s="110">
        <f>IF($C$6="Retirees",1,1.02)*cal!AB108</f>
        <v>1523.8500000000001</v>
      </c>
      <c r="AD28" s="110">
        <f>IF($C$6="Retirees",1,1.02)*cal!AC108</f>
        <v>1234.6500000000001</v>
      </c>
      <c r="AE28" s="110">
        <f>IF($C$6="Retirees",1,1.02)*cal!AD108</f>
        <v>1582.6200000000001</v>
      </c>
      <c r="AF28" s="110">
        <f>IF($C$6="Retirees",1,1.02)*cal!AE108</f>
        <v>1293.42</v>
      </c>
      <c r="AG28" s="110">
        <f>IF($C$6="Retirees",1,1.02)*cal!AF108</f>
        <v>1376.8300000000002</v>
      </c>
      <c r="AH28" s="110">
        <f>IF($C$6="Retirees",1,1.02)*cal!AG108</f>
        <v>1087.6300000000001</v>
      </c>
      <c r="AI28" s="110">
        <f>IF($C$6="Retirees",1,1.02)*cal!AH108</f>
        <v>1386.15</v>
      </c>
      <c r="AJ28" s="112">
        <f>IF($C$6="Retirees",1,1.02)*cal!AI108</f>
        <v>1096.95</v>
      </c>
    </row>
    <row r="29" spans="1:36" x14ac:dyDescent="0.2">
      <c r="A29" s="114"/>
      <c r="B29" s="115" t="s">
        <v>115</v>
      </c>
      <c r="C29" s="116"/>
      <c r="D29" s="108" t="s">
        <v>98</v>
      </c>
      <c r="E29" s="109"/>
      <c r="F29" s="110"/>
      <c r="G29" s="111"/>
      <c r="H29" s="112"/>
      <c r="I29" s="109">
        <f>IF($C$6="Retirees",1,1.02)*cal!H109</f>
        <v>1252.3</v>
      </c>
      <c r="J29" s="110">
        <f>IF($C$6="Retirees",1,1.02)*cal!I109</f>
        <v>817</v>
      </c>
      <c r="K29" s="110">
        <f>IF($C$6="Retirees",1,1.02)*cal!J109</f>
        <v>1208.23</v>
      </c>
      <c r="L29" s="110">
        <f>IF($C$6="Retirees",1,1.02)*cal!K109</f>
        <v>772.93</v>
      </c>
      <c r="M29" s="110">
        <f>IF($C$6="Retirees",1,1.02)*cal!L109</f>
        <v>1179.93</v>
      </c>
      <c r="N29" s="110">
        <f>IF($C$6="Retirees",1,1.02)*cal!M109</f>
        <v>744.63</v>
      </c>
      <c r="O29" s="110">
        <f>IF($C$6="Retirees",1,1.02)*cal!N109</f>
        <v>1227.75</v>
      </c>
      <c r="P29" s="110">
        <f>IF($C$6="Retirees",1,1.02)*cal!O109</f>
        <v>792.44999999999993</v>
      </c>
      <c r="Q29" s="110">
        <f>IF($C$6="Retirees",1,1.02)*cal!P109</f>
        <v>1251.95</v>
      </c>
      <c r="R29" s="110">
        <f>IF($C$6="Retirees",1,1.02)*cal!Q109</f>
        <v>816.65</v>
      </c>
      <c r="S29" s="110">
        <f>IF($C$6="Retirees",1,1.02)*cal!R109</f>
        <v>1167.21</v>
      </c>
      <c r="T29" s="110">
        <f>IF($C$6="Retirees",1,1.02)*cal!S109</f>
        <v>731.91</v>
      </c>
      <c r="U29" s="110">
        <f>IF($C$6="Retirees",1,1.02)*cal!T109</f>
        <v>1171.05</v>
      </c>
      <c r="V29" s="113">
        <f>IF($C$6="Retirees",1,1.02)*cal!U109</f>
        <v>735.75</v>
      </c>
      <c r="W29" s="109">
        <f>IF($C$6="Retirees",1,1.02)*cal!V109</f>
        <v>1143.1000000000001</v>
      </c>
      <c r="X29" s="110">
        <f>IF($C$6="Retirees",1,1.02)*cal!W109</f>
        <v>564.70000000000005</v>
      </c>
      <c r="Y29" s="110">
        <f>IF($C$6="Retirees",1,1.02)*cal!X109</f>
        <v>1099.03</v>
      </c>
      <c r="Z29" s="110">
        <f>IF($C$6="Retirees",1,1.02)*cal!Y109</f>
        <v>520.63</v>
      </c>
      <c r="AA29" s="110">
        <f>IF($C$6="Retirees",1,1.02)*cal!Z109</f>
        <v>1070.73</v>
      </c>
      <c r="AB29" s="110">
        <f>IF($C$6="Retirees",1,1.02)*cal!AA109</f>
        <v>492.33000000000004</v>
      </c>
      <c r="AC29" s="110">
        <f>IF($C$6="Retirees",1,1.02)*cal!AB109</f>
        <v>1118.55</v>
      </c>
      <c r="AD29" s="110">
        <f>IF($C$6="Retirees",1,1.02)*cal!AC109</f>
        <v>540.15</v>
      </c>
      <c r="AE29" s="110">
        <f>IF($C$6="Retirees",1,1.02)*cal!AD109</f>
        <v>1142.75</v>
      </c>
      <c r="AF29" s="110">
        <f>IF($C$6="Retirees",1,1.02)*cal!AE109</f>
        <v>564.35</v>
      </c>
      <c r="AG29" s="110">
        <f>IF($C$6="Retirees",1,1.02)*cal!AF109</f>
        <v>1058.01</v>
      </c>
      <c r="AH29" s="110">
        <f>IF($C$6="Retirees",1,1.02)*cal!AG109</f>
        <v>479.61</v>
      </c>
      <c r="AI29" s="110">
        <f>IF($C$6="Retirees",1,1.02)*cal!AH109</f>
        <v>1061.8500000000001</v>
      </c>
      <c r="AJ29" s="112">
        <f>IF($C$6="Retirees",1,1.02)*cal!AI109</f>
        <v>483.45000000000005</v>
      </c>
    </row>
    <row r="30" spans="1:36" ht="6" customHeight="1" x14ac:dyDescent="0.2">
      <c r="A30" s="114"/>
      <c r="B30" s="115"/>
      <c r="C30" s="116"/>
      <c r="D30" s="108"/>
      <c r="E30" s="109"/>
      <c r="F30" s="110"/>
      <c r="G30" s="111"/>
      <c r="H30" s="112"/>
      <c r="I30" s="109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3"/>
      <c r="W30" s="109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2"/>
    </row>
    <row r="31" spans="1:36" x14ac:dyDescent="0.2">
      <c r="A31" s="117" t="s">
        <v>102</v>
      </c>
      <c r="B31" s="118"/>
      <c r="C31" s="119"/>
      <c r="D31" s="120"/>
      <c r="E31" s="121"/>
      <c r="F31" s="122"/>
      <c r="G31" s="123"/>
      <c r="H31" s="124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5"/>
      <c r="W31" s="121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4"/>
    </row>
    <row r="32" spans="1:36" x14ac:dyDescent="0.2">
      <c r="A32" s="107"/>
      <c r="B32" s="72" t="s">
        <v>116</v>
      </c>
      <c r="C32" s="108"/>
      <c r="D32" s="108" t="s">
        <v>97</v>
      </c>
      <c r="E32" s="109"/>
      <c r="F32" s="110"/>
      <c r="G32" s="111"/>
      <c r="H32" s="112"/>
      <c r="I32" s="109">
        <f>IF($C$6="Retirees",1,1.02)*cal!H112</f>
        <v>1552.1299999999999</v>
      </c>
      <c r="J32" s="110">
        <f>IF($C$6="Retirees",1,1.02)*cal!I112</f>
        <v>1116.83</v>
      </c>
      <c r="K32" s="110">
        <f>IF($C$6="Retirees",1,1.02)*cal!J112</f>
        <v>1482.87</v>
      </c>
      <c r="L32" s="110">
        <f>IF($C$6="Retirees",1,1.02)*cal!K112</f>
        <v>1047.57</v>
      </c>
      <c r="M32" s="110">
        <f>IF($C$6="Retirees",1,1.02)*cal!L112</f>
        <v>1438.4</v>
      </c>
      <c r="N32" s="110">
        <f>IF($C$6="Retirees",1,1.02)*cal!M112</f>
        <v>1003.1</v>
      </c>
      <c r="O32" s="110">
        <f>IF($C$6="Retirees",1,1.02)*cal!N112</f>
        <v>1513.55</v>
      </c>
      <c r="P32" s="110">
        <f>IF($C$6="Retirees",1,1.02)*cal!O112</f>
        <v>1078.25</v>
      </c>
      <c r="Q32" s="110">
        <f>IF($C$6="Retirees",1,1.02)*cal!P112</f>
        <v>1551.58</v>
      </c>
      <c r="R32" s="110">
        <f>IF($C$6="Retirees",1,1.02)*cal!Q112</f>
        <v>1116.28</v>
      </c>
      <c r="S32" s="110">
        <f>IF($C$6="Retirees",1,1.02)*cal!R112</f>
        <v>1418.42</v>
      </c>
      <c r="T32" s="110">
        <f>IF($C$6="Retirees",1,1.02)*cal!S112</f>
        <v>983.12</v>
      </c>
      <c r="U32" s="110">
        <f>IF($C$6="Retirees",1,1.02)*cal!T112</f>
        <v>1361.1</v>
      </c>
      <c r="V32" s="113">
        <f>IF($C$6="Retirees",1,1.02)*cal!U112</f>
        <v>925.8</v>
      </c>
      <c r="W32" s="109">
        <f>IF($C$6="Retirees",1,1.02)*cal!V112</f>
        <v>1442.93</v>
      </c>
      <c r="X32" s="110">
        <f>IF($C$6="Retirees",1,1.02)*cal!W112</f>
        <v>864.53</v>
      </c>
      <c r="Y32" s="110">
        <f>IF($C$6="Retirees",1,1.02)*cal!X112</f>
        <v>1373.67</v>
      </c>
      <c r="Z32" s="110">
        <f>IF($C$6="Retirees",1,1.02)*cal!Y112</f>
        <v>795.27</v>
      </c>
      <c r="AA32" s="110">
        <f>IF($C$6="Retirees",1,1.02)*cal!Z112</f>
        <v>1329.2</v>
      </c>
      <c r="AB32" s="110">
        <f>IF($C$6="Retirees",1,1.02)*cal!AA112</f>
        <v>750.80000000000007</v>
      </c>
      <c r="AC32" s="110">
        <f>IF($C$6="Retirees",1,1.02)*cal!AB112</f>
        <v>1404.3500000000001</v>
      </c>
      <c r="AD32" s="110">
        <f>IF($C$6="Retirees",1,1.02)*cal!AC112</f>
        <v>825.95</v>
      </c>
      <c r="AE32" s="110">
        <f>IF($C$6="Retirees",1,1.02)*cal!AD112</f>
        <v>1442.38</v>
      </c>
      <c r="AF32" s="110">
        <f>IF($C$6="Retirees",1,1.02)*cal!AE112</f>
        <v>863.98</v>
      </c>
      <c r="AG32" s="110">
        <f>IF($C$6="Retirees",1,1.02)*cal!AF112</f>
        <v>1309.22</v>
      </c>
      <c r="AH32" s="110">
        <f>IF($C$6="Retirees",1,1.02)*cal!AG112</f>
        <v>730.82</v>
      </c>
      <c r="AI32" s="110">
        <f>IF($C$6="Retirees",1,1.02)*cal!AH112</f>
        <v>1251.9000000000001</v>
      </c>
      <c r="AJ32" s="112">
        <f>IF($C$6="Retirees",1,1.02)*cal!AI112</f>
        <v>673.5</v>
      </c>
    </row>
    <row r="33" spans="1:36" x14ac:dyDescent="0.2">
      <c r="A33" s="107"/>
      <c r="B33" s="72" t="s">
        <v>117</v>
      </c>
      <c r="C33" s="108"/>
      <c r="D33" s="108" t="s">
        <v>95</v>
      </c>
      <c r="E33" s="109"/>
      <c r="F33" s="110"/>
      <c r="G33" s="111"/>
      <c r="H33" s="112"/>
      <c r="I33" s="109">
        <f>IF($C$6="Retirees",1,1.02)*cal!H113</f>
        <v>1477.17</v>
      </c>
      <c r="J33" s="110">
        <f>IF($C$6="Retirees",1,1.02)*cal!I113</f>
        <v>1041.8700000000001</v>
      </c>
      <c r="K33" s="110">
        <f>IF($C$6="Retirees",1,1.02)*cal!J113</f>
        <v>1414.21</v>
      </c>
      <c r="L33" s="110">
        <f>IF($C$6="Retirees",1,1.02)*cal!K113</f>
        <v>978.91000000000008</v>
      </c>
      <c r="M33" s="110">
        <f>IF($C$6="Retirees",1,1.02)*cal!L113</f>
        <v>1373.78</v>
      </c>
      <c r="N33" s="110">
        <f>IF($C$6="Retirees",1,1.02)*cal!M113</f>
        <v>938.48</v>
      </c>
      <c r="O33" s="110">
        <f>IF($C$6="Retirees",1,1.02)*cal!N113</f>
        <v>1442.1</v>
      </c>
      <c r="P33" s="110">
        <f>IF($C$6="Retirees",1,1.02)*cal!O113</f>
        <v>1006.8</v>
      </c>
      <c r="Q33" s="110">
        <f>IF($C$6="Retirees",1,1.02)*cal!P113</f>
        <v>1476.67</v>
      </c>
      <c r="R33" s="110">
        <f>IF($C$6="Retirees",1,1.02)*cal!Q113</f>
        <v>1041.3700000000001</v>
      </c>
      <c r="S33" s="110">
        <f>IF($C$6="Retirees",1,1.02)*cal!R113</f>
        <v>1355.62</v>
      </c>
      <c r="T33" s="110">
        <f>IF($C$6="Retirees",1,1.02)*cal!S113</f>
        <v>920.31999999999994</v>
      </c>
      <c r="U33" s="110">
        <f>IF($C$6="Retirees",1,1.02)*cal!T113</f>
        <v>1361.1</v>
      </c>
      <c r="V33" s="113">
        <f>IF($C$6="Retirees",1,1.02)*cal!U113</f>
        <v>925.8</v>
      </c>
      <c r="W33" s="109">
        <f>IF($C$6="Retirees",1,1.02)*cal!V113</f>
        <v>1367.97</v>
      </c>
      <c r="X33" s="110">
        <f>IF($C$6="Retirees",1,1.02)*cal!W113</f>
        <v>789.57</v>
      </c>
      <c r="Y33" s="110">
        <f>IF($C$6="Retirees",1,1.02)*cal!X113</f>
        <v>1305.01</v>
      </c>
      <c r="Z33" s="110">
        <f>IF($C$6="Retirees",1,1.02)*cal!Y113</f>
        <v>726.61</v>
      </c>
      <c r="AA33" s="110">
        <f>IF($C$6="Retirees",1,1.02)*cal!Z113</f>
        <v>1264.58</v>
      </c>
      <c r="AB33" s="110">
        <f>IF($C$6="Retirees",1,1.02)*cal!AA113</f>
        <v>686.18</v>
      </c>
      <c r="AC33" s="110">
        <f>IF($C$6="Retirees",1,1.02)*cal!AB113</f>
        <v>1332.9</v>
      </c>
      <c r="AD33" s="110">
        <f>IF($C$6="Retirees",1,1.02)*cal!AC113</f>
        <v>754.5</v>
      </c>
      <c r="AE33" s="110">
        <f>IF($C$6="Retirees",1,1.02)*cal!AD113</f>
        <v>1367.47</v>
      </c>
      <c r="AF33" s="110">
        <f>IF($C$6="Retirees",1,1.02)*cal!AE113</f>
        <v>789.07</v>
      </c>
      <c r="AG33" s="110">
        <f>IF($C$6="Retirees",1,1.02)*cal!AF113</f>
        <v>1246.42</v>
      </c>
      <c r="AH33" s="110">
        <f>IF($C$6="Retirees",1,1.02)*cal!AG113</f>
        <v>668.02</v>
      </c>
      <c r="AI33" s="110">
        <f>IF($C$6="Retirees",1,1.02)*cal!AH113</f>
        <v>1251.9000000000001</v>
      </c>
      <c r="AJ33" s="112">
        <f>IF($C$6="Retirees",1,1.02)*cal!AI113</f>
        <v>673.5</v>
      </c>
    </row>
    <row r="34" spans="1:36" x14ac:dyDescent="0.2">
      <c r="A34" s="107"/>
      <c r="B34" s="72" t="s">
        <v>118</v>
      </c>
      <c r="C34" s="108"/>
      <c r="D34" s="108" t="s">
        <v>99</v>
      </c>
      <c r="E34" s="109">
        <f>IF($C$6="Retirees",1,1.02)*cal!D114</f>
        <v>1091.4000000000001</v>
      </c>
      <c r="F34" s="110">
        <f>IF($C$6="Retirees",1,1.02)*cal!E114</f>
        <v>438.45000000000005</v>
      </c>
      <c r="G34" s="111">
        <f>IF($C$6="Retirees",1,1.02)*cal!F114</f>
        <v>927.59999999999991</v>
      </c>
      <c r="H34" s="112">
        <f>IF($C$6="Retirees",1,1.02)*cal!G114</f>
        <v>60</v>
      </c>
      <c r="I34" s="109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3"/>
      <c r="W34" s="109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2"/>
    </row>
    <row r="35" spans="1:36" x14ac:dyDescent="0.2">
      <c r="A35" s="107"/>
      <c r="B35" s="72" t="s">
        <v>119</v>
      </c>
      <c r="C35" s="108"/>
      <c r="D35" s="108" t="s">
        <v>93</v>
      </c>
      <c r="E35" s="109"/>
      <c r="F35" s="110"/>
      <c r="G35" s="111"/>
      <c r="H35" s="112"/>
      <c r="I35" s="109">
        <f>IF($C$6="Retirees",1,1.02)*cal!H115</f>
        <v>1937.8999999999999</v>
      </c>
      <c r="J35" s="110">
        <f>IF($C$6="Retirees",1,1.02)*cal!I115</f>
        <v>1720.25</v>
      </c>
      <c r="K35" s="110">
        <f>IF($C$6="Retirees",1,1.02)*cal!J115</f>
        <v>1805.68</v>
      </c>
      <c r="L35" s="110">
        <f>IF($C$6="Retirees",1,1.02)*cal!K115</f>
        <v>1588.0300000000002</v>
      </c>
      <c r="M35" s="110">
        <f>IF($C$6="Retirees",1,1.02)*cal!L115</f>
        <v>1720.78</v>
      </c>
      <c r="N35" s="110">
        <f>IF($C$6="Retirees",1,1.02)*cal!M115</f>
        <v>1503.13</v>
      </c>
      <c r="O35" s="110">
        <f>IF($C$6="Retirees",1,1.02)*cal!N115</f>
        <v>1864.25</v>
      </c>
      <c r="P35" s="110">
        <f>IF($C$6="Retirees",1,1.02)*cal!O115</f>
        <v>1646.6000000000001</v>
      </c>
      <c r="Q35" s="110">
        <f>IF($C$6="Retirees",1,1.02)*cal!P115</f>
        <v>1936.8500000000001</v>
      </c>
      <c r="R35" s="110">
        <f>IF($C$6="Retirees",1,1.02)*cal!Q115</f>
        <v>1719.2000000000003</v>
      </c>
      <c r="S35" s="110">
        <f>IF($C$6="Retirees",1,1.02)*cal!R115</f>
        <v>1682.64</v>
      </c>
      <c r="T35" s="110">
        <f>IF($C$6="Retirees",1,1.02)*cal!S115</f>
        <v>1464.9900000000002</v>
      </c>
      <c r="U35" s="110">
        <f>IF($C$6="Retirees",1,1.02)*cal!T115</f>
        <v>1694.1499999999999</v>
      </c>
      <c r="V35" s="113">
        <f>IF($C$6="Retirees",1,1.02)*cal!U115</f>
        <v>1476.5</v>
      </c>
      <c r="W35" s="109">
        <f>IF($C$6="Retirees",1,1.02)*cal!V115</f>
        <v>1883.3</v>
      </c>
      <c r="X35" s="110">
        <f>IF($C$6="Retirees",1,1.02)*cal!W115</f>
        <v>1594.1</v>
      </c>
      <c r="Y35" s="110">
        <f>IF($C$6="Retirees",1,1.02)*cal!X115</f>
        <v>1751.0800000000002</v>
      </c>
      <c r="Z35" s="110">
        <f>IF($C$6="Retirees",1,1.02)*cal!Y115</f>
        <v>1461.88</v>
      </c>
      <c r="AA35" s="110">
        <f>IF($C$6="Retirees",1,1.02)*cal!Z115</f>
        <v>1666.18</v>
      </c>
      <c r="AB35" s="110">
        <f>IF($C$6="Retirees",1,1.02)*cal!AA115</f>
        <v>1376.98</v>
      </c>
      <c r="AC35" s="110">
        <f>IF($C$6="Retirees",1,1.02)*cal!AB115</f>
        <v>1809.65</v>
      </c>
      <c r="AD35" s="110">
        <f>IF($C$6="Retirees",1,1.02)*cal!AC115</f>
        <v>1520.45</v>
      </c>
      <c r="AE35" s="110">
        <f>IF($C$6="Retirees",1,1.02)*cal!AD115</f>
        <v>1882.2500000000002</v>
      </c>
      <c r="AF35" s="110">
        <f>IF($C$6="Retirees",1,1.02)*cal!AE115</f>
        <v>1593.0500000000002</v>
      </c>
      <c r="AG35" s="110">
        <f>IF($C$6="Retirees",1,1.02)*cal!AF115</f>
        <v>1628.0400000000002</v>
      </c>
      <c r="AH35" s="110">
        <f>IF($C$6="Retirees",1,1.02)*cal!AG115</f>
        <v>1338.8400000000001</v>
      </c>
      <c r="AI35" s="110">
        <f>IF($C$6="Retirees",1,1.02)*cal!AH115</f>
        <v>1639.55</v>
      </c>
      <c r="AJ35" s="112">
        <f>IF($C$6="Retirees",1,1.02)*cal!AI115</f>
        <v>1350.35</v>
      </c>
    </row>
    <row r="36" spans="1:36" ht="5.45" customHeight="1" thickBot="1" x14ac:dyDescent="0.25">
      <c r="A36" s="126"/>
      <c r="B36" s="127"/>
      <c r="C36" s="128"/>
      <c r="D36" s="128"/>
      <c r="E36" s="129"/>
      <c r="F36" s="130"/>
      <c r="G36" s="131"/>
      <c r="H36" s="132"/>
      <c r="I36" s="129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3"/>
      <c r="W36" s="129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2"/>
    </row>
    <row r="37" spans="1:36" x14ac:dyDescent="0.2">
      <c r="A37" s="134"/>
      <c r="B37" s="134"/>
      <c r="C37" s="134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</sheetData>
  <sheetProtection password="8577" sheet="1" objects="1" scenarios="1"/>
  <mergeCells count="2">
    <mergeCell ref="E9:F9"/>
    <mergeCell ref="G9:H9"/>
  </mergeCells>
  <pageMargins left="0.19" right="0.7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6AEA39-4C2C-483C-8235-AEA0AA65FBF7}">
          <x14:formula1>
            <xm:f>cal!$U$46:$U$47</xm:f>
          </x14:formula1>
          <xm:sqref>C6</xm:sqref>
        </x14:dataValidation>
        <x14:dataValidation type="list" allowBlank="1" showInputMessage="1" showErrorMessage="1" xr:uid="{FA70ECF5-D556-49CC-BCA1-4AEF20590FA6}">
          <x14:formula1>
            <xm:f>cal!$T$47:$T$68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F8BB-3CC4-483D-9870-A68F0411A70D}">
  <dimension ref="A1:AI123"/>
  <sheetViews>
    <sheetView showGridLines="0" topLeftCell="W26" zoomScale="80" zoomScaleNormal="80" workbookViewId="0">
      <selection activeCell="V26" sqref="A1:V1048576"/>
    </sheetView>
  </sheetViews>
  <sheetFormatPr defaultColWidth="8.85546875" defaultRowHeight="12.75" x14ac:dyDescent="0.2"/>
  <cols>
    <col min="1" max="1" width="30.7109375" style="39" hidden="1" customWidth="1"/>
    <col min="2" max="2" width="13.7109375" style="39" hidden="1" customWidth="1"/>
    <col min="3" max="3" width="11" style="39" hidden="1" customWidth="1"/>
    <col min="4" max="22" width="12.140625" style="39" hidden="1" customWidth="1"/>
    <col min="23" max="35" width="12.140625" style="30" customWidth="1"/>
    <col min="36" max="16384" width="8.85546875" style="30"/>
  </cols>
  <sheetData>
    <row r="1" spans="1:15" x14ac:dyDescent="0.2">
      <c r="A1" s="39" t="s">
        <v>21</v>
      </c>
      <c r="B1" s="36">
        <v>2020</v>
      </c>
      <c r="E1" s="51" t="s">
        <v>124</v>
      </c>
      <c r="F1" s="51"/>
      <c r="G1" s="51"/>
      <c r="H1" s="51"/>
      <c r="I1" s="51"/>
      <c r="J1" s="51"/>
    </row>
    <row r="2" spans="1:15" x14ac:dyDescent="0.2">
      <c r="A2" s="39" t="s">
        <v>11</v>
      </c>
      <c r="B2" s="36"/>
    </row>
    <row r="3" spans="1:15" ht="14.45" customHeight="1" x14ac:dyDescent="0.2">
      <c r="B3" s="36"/>
      <c r="C3" s="141" t="s">
        <v>47</v>
      </c>
      <c r="D3" s="141"/>
      <c r="E3" s="141"/>
      <c r="F3" s="141"/>
      <c r="G3" s="141"/>
      <c r="H3" s="141"/>
      <c r="I3" s="141"/>
      <c r="J3" s="141"/>
    </row>
    <row r="4" spans="1:15" ht="14.45" customHeight="1" x14ac:dyDescent="0.2">
      <c r="B4" s="36"/>
      <c r="C4" s="141" t="s">
        <v>47</v>
      </c>
      <c r="D4" s="141"/>
      <c r="E4" s="141"/>
      <c r="F4" s="141"/>
      <c r="G4" s="141" t="s">
        <v>126</v>
      </c>
      <c r="H4" s="141"/>
      <c r="I4" s="141"/>
      <c r="J4" s="141"/>
    </row>
    <row r="5" spans="1:15" ht="38.25" x14ac:dyDescent="0.2">
      <c r="A5" s="52" t="s">
        <v>5</v>
      </c>
      <c r="B5" s="53" t="s">
        <v>36</v>
      </c>
      <c r="C5" s="53" t="s">
        <v>3</v>
      </c>
      <c r="D5" s="53" t="s">
        <v>0</v>
      </c>
      <c r="E5" s="53" t="s">
        <v>2</v>
      </c>
      <c r="F5" s="53" t="s">
        <v>1</v>
      </c>
      <c r="G5" s="53" t="s">
        <v>3</v>
      </c>
      <c r="H5" s="53" t="s">
        <v>0</v>
      </c>
      <c r="I5" s="53" t="s">
        <v>2</v>
      </c>
      <c r="J5" s="53" t="s">
        <v>1</v>
      </c>
    </row>
    <row r="6" spans="1:15" x14ac:dyDescent="0.2">
      <c r="A6" s="39" t="s">
        <v>6</v>
      </c>
      <c r="B6" s="36" t="s">
        <v>27</v>
      </c>
      <c r="C6" s="41">
        <v>749.57</v>
      </c>
      <c r="D6" s="41">
        <v>1274.27</v>
      </c>
      <c r="E6" s="41">
        <v>1574.1</v>
      </c>
      <c r="F6" s="41">
        <v>2098.8000000000002</v>
      </c>
      <c r="G6" s="41">
        <v>168.73</v>
      </c>
      <c r="H6" s="41">
        <v>307.13</v>
      </c>
      <c r="I6" s="41">
        <v>418.09</v>
      </c>
      <c r="J6" s="41">
        <v>556.5</v>
      </c>
    </row>
    <row r="7" spans="1:15" x14ac:dyDescent="0.2">
      <c r="A7" s="39" t="s">
        <v>7</v>
      </c>
      <c r="B7" s="36" t="s">
        <v>28</v>
      </c>
      <c r="C7" s="41">
        <v>686.61</v>
      </c>
      <c r="D7" s="41">
        <v>1167.24</v>
      </c>
      <c r="E7" s="41">
        <v>1441.88</v>
      </c>
      <c r="F7" s="41">
        <v>1922.51</v>
      </c>
      <c r="G7" s="41">
        <v>110.89</v>
      </c>
      <c r="H7" s="41">
        <v>208.8</v>
      </c>
      <c r="I7" s="41">
        <v>296.62</v>
      </c>
      <c r="J7" s="41">
        <v>394.54</v>
      </c>
    </row>
    <row r="8" spans="1:15" x14ac:dyDescent="0.2">
      <c r="A8" s="39" t="s">
        <v>8</v>
      </c>
      <c r="B8" s="36" t="s">
        <v>29</v>
      </c>
      <c r="C8" s="41">
        <v>646.17999999999995</v>
      </c>
      <c r="D8" s="41">
        <v>1098.51</v>
      </c>
      <c r="E8" s="41">
        <v>1356.98</v>
      </c>
      <c r="F8" s="41">
        <v>1809.31</v>
      </c>
      <c r="G8" s="41">
        <v>72.45</v>
      </c>
      <c r="H8" s="41">
        <v>143.46</v>
      </c>
      <c r="I8" s="41">
        <v>215.91</v>
      </c>
      <c r="J8" s="41">
        <v>286.92</v>
      </c>
    </row>
    <row r="9" spans="1:15" x14ac:dyDescent="0.2">
      <c r="A9" s="39" t="s">
        <v>17</v>
      </c>
      <c r="B9" s="36" t="s">
        <v>30</v>
      </c>
      <c r="C9" s="41">
        <v>714.5</v>
      </c>
      <c r="D9" s="41">
        <v>1214.6500000000001</v>
      </c>
      <c r="E9" s="41">
        <v>1500.45</v>
      </c>
      <c r="F9" s="41">
        <v>2000.6</v>
      </c>
      <c r="G9" s="41">
        <v>135.65</v>
      </c>
      <c r="H9" s="41">
        <v>250.9</v>
      </c>
      <c r="I9" s="41">
        <v>348.63</v>
      </c>
      <c r="J9" s="41">
        <v>463.89</v>
      </c>
    </row>
    <row r="10" spans="1:15" x14ac:dyDescent="0.2">
      <c r="A10" s="39" t="s">
        <v>18</v>
      </c>
      <c r="B10" s="36" t="s">
        <v>32</v>
      </c>
      <c r="C10" s="41">
        <v>749.07</v>
      </c>
      <c r="D10" s="41">
        <v>1273.42</v>
      </c>
      <c r="E10" s="41">
        <v>1573.05</v>
      </c>
      <c r="F10" s="41">
        <v>2097.4</v>
      </c>
      <c r="G10" s="41">
        <v>172.56</v>
      </c>
      <c r="H10" s="41">
        <v>313.64999999999998</v>
      </c>
      <c r="I10" s="41">
        <v>426.14</v>
      </c>
      <c r="J10" s="41">
        <v>567.22</v>
      </c>
    </row>
    <row r="11" spans="1:15" x14ac:dyDescent="0.2">
      <c r="A11" s="39" t="s">
        <v>19</v>
      </c>
      <c r="B11" s="36" t="s">
        <v>33</v>
      </c>
      <c r="C11" s="41">
        <v>628.02</v>
      </c>
      <c r="D11" s="41">
        <v>1067.6300000000001</v>
      </c>
      <c r="E11" s="41">
        <v>1318.84</v>
      </c>
      <c r="F11" s="41">
        <v>1758.45</v>
      </c>
      <c r="G11" s="41">
        <v>58.03</v>
      </c>
      <c r="H11" s="41">
        <v>118.94</v>
      </c>
      <c r="I11" s="41">
        <v>185.62</v>
      </c>
      <c r="J11" s="41">
        <v>246.54</v>
      </c>
    </row>
    <row r="12" spans="1:15" x14ac:dyDescent="0.2">
      <c r="A12" s="39" t="s">
        <v>20</v>
      </c>
      <c r="B12" s="36" t="s">
        <v>31</v>
      </c>
      <c r="C12" s="41">
        <v>633.5</v>
      </c>
      <c r="D12" s="41">
        <v>1076.95</v>
      </c>
      <c r="E12" s="41">
        <v>1330.35</v>
      </c>
      <c r="F12" s="41">
        <v>1773.79</v>
      </c>
      <c r="G12" s="41">
        <v>142.71</v>
      </c>
      <c r="H12" s="41">
        <v>262.58999999999997</v>
      </c>
      <c r="I12" s="41">
        <v>362.49</v>
      </c>
      <c r="J12" s="41">
        <v>482.37</v>
      </c>
    </row>
    <row r="13" spans="1:15" x14ac:dyDescent="0.2">
      <c r="B13" s="36"/>
      <c r="C13" s="54"/>
      <c r="D13" s="54"/>
      <c r="E13" s="54"/>
      <c r="F13" s="54"/>
      <c r="G13" s="55"/>
      <c r="O13" s="69"/>
    </row>
    <row r="14" spans="1:15" x14ac:dyDescent="0.2">
      <c r="B14" s="36"/>
    </row>
    <row r="15" spans="1:15" ht="25.5" x14ac:dyDescent="0.2">
      <c r="A15" s="52" t="s">
        <v>5</v>
      </c>
      <c r="B15" s="53" t="s">
        <v>36</v>
      </c>
      <c r="C15" s="53" t="s">
        <v>58</v>
      </c>
      <c r="D15" s="53" t="s">
        <v>59</v>
      </c>
      <c r="E15" s="39" t="s">
        <v>50</v>
      </c>
      <c r="J15" s="56"/>
    </row>
    <row r="16" spans="1:15" x14ac:dyDescent="0.2">
      <c r="A16" s="57" t="s">
        <v>12</v>
      </c>
      <c r="B16" s="36" t="s">
        <v>35</v>
      </c>
      <c r="C16" s="41">
        <v>20</v>
      </c>
      <c r="D16" s="41">
        <v>20</v>
      </c>
      <c r="E16" s="39" t="s">
        <v>4</v>
      </c>
      <c r="G16" s="58"/>
      <c r="J16" s="56"/>
    </row>
    <row r="17" spans="1:25" x14ac:dyDescent="0.2">
      <c r="A17" s="57" t="s">
        <v>13</v>
      </c>
      <c r="B17" s="36" t="s">
        <v>34</v>
      </c>
      <c r="C17" s="41">
        <v>309.2</v>
      </c>
      <c r="D17" s="41">
        <v>128.22</v>
      </c>
      <c r="E17" s="39" t="s">
        <v>4</v>
      </c>
      <c r="G17" s="58"/>
      <c r="J17" s="56"/>
    </row>
    <row r="18" spans="1:25" x14ac:dyDescent="0.2">
      <c r="A18" s="57" t="s">
        <v>14</v>
      </c>
      <c r="B18" s="36" t="s">
        <v>35</v>
      </c>
      <c r="C18" s="41">
        <v>492.23</v>
      </c>
      <c r="D18" s="41">
        <v>20</v>
      </c>
      <c r="E18" s="39" t="s">
        <v>4</v>
      </c>
      <c r="G18" s="58"/>
      <c r="J18" s="56"/>
    </row>
    <row r="19" spans="1:25" x14ac:dyDescent="0.2">
      <c r="A19" s="57" t="s">
        <v>15</v>
      </c>
      <c r="B19" s="36" t="s">
        <v>34</v>
      </c>
      <c r="C19" s="41">
        <v>761.31</v>
      </c>
      <c r="D19" s="41">
        <v>128.22</v>
      </c>
      <c r="E19" s="39" t="s">
        <v>4</v>
      </c>
      <c r="G19" s="58"/>
      <c r="J19" s="56"/>
    </row>
    <row r="20" spans="1:25" x14ac:dyDescent="0.2">
      <c r="A20" s="57" t="s">
        <v>12</v>
      </c>
      <c r="B20" s="36" t="s">
        <v>75</v>
      </c>
      <c r="C20" s="41">
        <v>146.15</v>
      </c>
      <c r="D20" s="41">
        <v>146.15</v>
      </c>
      <c r="E20" s="59" t="s">
        <v>125</v>
      </c>
      <c r="G20" s="58"/>
      <c r="J20" s="56"/>
    </row>
    <row r="21" spans="1:25" x14ac:dyDescent="0.2">
      <c r="A21" s="57" t="s">
        <v>13</v>
      </c>
      <c r="B21" s="36" t="s">
        <v>76</v>
      </c>
      <c r="C21" s="41">
        <v>363.8</v>
      </c>
      <c r="D21" s="41">
        <v>182.82000000000002</v>
      </c>
      <c r="E21" s="56" t="str">
        <f>$E$20</f>
        <v>Anthem</v>
      </c>
      <c r="G21" s="58"/>
      <c r="J21" s="56"/>
    </row>
    <row r="22" spans="1:25" x14ac:dyDescent="0.2">
      <c r="A22" s="57" t="s">
        <v>14</v>
      </c>
      <c r="B22" s="36" t="str">
        <f>B20</f>
        <v>B8</v>
      </c>
      <c r="C22" s="41">
        <v>524.83000000000004</v>
      </c>
      <c r="D22" s="41">
        <v>146.15</v>
      </c>
      <c r="E22" s="56" t="str">
        <f>$E$20</f>
        <v>Anthem</v>
      </c>
      <c r="G22" s="58"/>
      <c r="J22" s="56"/>
    </row>
    <row r="23" spans="1:25" x14ac:dyDescent="0.2">
      <c r="A23" s="57" t="s">
        <v>15</v>
      </c>
      <c r="B23" s="36" t="str">
        <f>B21</f>
        <v>B7</v>
      </c>
      <c r="C23" s="41">
        <v>951.13</v>
      </c>
      <c r="D23" s="41">
        <v>182.82000000000002</v>
      </c>
      <c r="E23" s="56" t="str">
        <f>$E$20</f>
        <v>Anthem</v>
      </c>
      <c r="G23" s="58"/>
      <c r="J23" s="56"/>
    </row>
    <row r="24" spans="1:25" x14ac:dyDescent="0.2">
      <c r="B24" s="36"/>
      <c r="G24" s="58"/>
      <c r="J24" s="56"/>
    </row>
    <row r="25" spans="1:25" x14ac:dyDescent="0.2">
      <c r="A25" s="37"/>
      <c r="B25" s="36"/>
      <c r="J25" s="56"/>
      <c r="W25" s="32"/>
      <c r="X25" s="32"/>
      <c r="Y25" s="32"/>
    </row>
    <row r="26" spans="1:25" x14ac:dyDescent="0.2">
      <c r="A26" s="37" t="s">
        <v>53</v>
      </c>
      <c r="B26" s="40" t="s">
        <v>77</v>
      </c>
      <c r="W26" s="32"/>
      <c r="X26" s="32"/>
      <c r="Y26" s="32"/>
    </row>
    <row r="27" spans="1:25" x14ac:dyDescent="0.2">
      <c r="A27" s="37" t="s">
        <v>43</v>
      </c>
      <c r="B27" s="36"/>
      <c r="C27" s="60" t="s">
        <v>25</v>
      </c>
      <c r="D27" s="60"/>
      <c r="E27" s="60" t="s">
        <v>41</v>
      </c>
      <c r="F27" s="60"/>
      <c r="G27" s="60" t="s">
        <v>42</v>
      </c>
      <c r="H27" s="60"/>
    </row>
    <row r="28" spans="1:25" x14ac:dyDescent="0.2">
      <c r="A28" s="57"/>
      <c r="B28" s="40" t="s">
        <v>39</v>
      </c>
      <c r="C28" s="36" t="s">
        <v>40</v>
      </c>
      <c r="D28" s="36" t="s">
        <v>138</v>
      </c>
      <c r="E28" s="36" t="s">
        <v>40</v>
      </c>
      <c r="F28" s="36" t="s">
        <v>138</v>
      </c>
      <c r="G28" s="36" t="s">
        <v>40</v>
      </c>
      <c r="H28" s="36" t="s">
        <v>138</v>
      </c>
      <c r="J28" s="38" t="s">
        <v>36</v>
      </c>
    </row>
    <row r="29" spans="1:25" x14ac:dyDescent="0.2">
      <c r="A29" s="39" t="s">
        <v>6</v>
      </c>
      <c r="B29" s="36" t="s">
        <v>27</v>
      </c>
      <c r="C29" s="41">
        <f t="shared" ref="C29:C35" si="0">G6</f>
        <v>168.73</v>
      </c>
      <c r="D29" s="41">
        <f t="shared" ref="D29:D35" si="1">C6</f>
        <v>749.57</v>
      </c>
      <c r="E29" s="41">
        <f t="shared" ref="E29:E35" si="2">I6-G6</f>
        <v>249.35999999999999</v>
      </c>
      <c r="F29" s="41">
        <f t="shared" ref="F29:F35" si="3">E6-C6</f>
        <v>824.52999999999986</v>
      </c>
      <c r="G29" s="41">
        <f t="shared" ref="G29:G35" si="4">H6-G6</f>
        <v>138.4</v>
      </c>
      <c r="H29" s="41">
        <f t="shared" ref="H29:H35" si="5">D6-C6</f>
        <v>524.69999999999993</v>
      </c>
      <c r="J29" s="36" t="str">
        <f>B26&amp;B29</f>
        <v>GFB1</v>
      </c>
    </row>
    <row r="30" spans="1:25" x14ac:dyDescent="0.2">
      <c r="A30" s="39" t="s">
        <v>7</v>
      </c>
      <c r="B30" s="36" t="s">
        <v>28</v>
      </c>
      <c r="C30" s="41">
        <f t="shared" si="0"/>
        <v>110.89</v>
      </c>
      <c r="D30" s="41">
        <f t="shared" si="1"/>
        <v>686.61</v>
      </c>
      <c r="E30" s="41">
        <f t="shared" si="2"/>
        <v>185.73000000000002</v>
      </c>
      <c r="F30" s="41">
        <f t="shared" si="3"/>
        <v>755.2700000000001</v>
      </c>
      <c r="G30" s="41">
        <f t="shared" si="4"/>
        <v>97.910000000000011</v>
      </c>
      <c r="H30" s="41">
        <f t="shared" si="5"/>
        <v>480.63</v>
      </c>
      <c r="J30" s="36" t="str">
        <f>B26&amp;B30</f>
        <v>GFB2</v>
      </c>
    </row>
    <row r="31" spans="1:25" x14ac:dyDescent="0.2">
      <c r="A31" s="39" t="s">
        <v>8</v>
      </c>
      <c r="B31" s="36" t="s">
        <v>29</v>
      </c>
      <c r="C31" s="41">
        <f t="shared" si="0"/>
        <v>72.45</v>
      </c>
      <c r="D31" s="41">
        <f t="shared" si="1"/>
        <v>646.17999999999995</v>
      </c>
      <c r="E31" s="41">
        <f t="shared" si="2"/>
        <v>143.45999999999998</v>
      </c>
      <c r="F31" s="41">
        <f t="shared" si="3"/>
        <v>710.80000000000007</v>
      </c>
      <c r="G31" s="41">
        <f t="shared" si="4"/>
        <v>71.010000000000005</v>
      </c>
      <c r="H31" s="41">
        <f t="shared" si="5"/>
        <v>452.33000000000004</v>
      </c>
      <c r="J31" s="36" t="str">
        <f>B26&amp;B31</f>
        <v>GFB3</v>
      </c>
    </row>
    <row r="32" spans="1:25" x14ac:dyDescent="0.2">
      <c r="A32" s="39" t="s">
        <v>17</v>
      </c>
      <c r="B32" s="36" t="s">
        <v>30</v>
      </c>
      <c r="C32" s="41">
        <f t="shared" si="0"/>
        <v>135.65</v>
      </c>
      <c r="D32" s="41">
        <f t="shared" si="1"/>
        <v>714.5</v>
      </c>
      <c r="E32" s="41">
        <f t="shared" si="2"/>
        <v>212.98</v>
      </c>
      <c r="F32" s="41">
        <f t="shared" si="3"/>
        <v>785.95</v>
      </c>
      <c r="G32" s="41">
        <f t="shared" si="4"/>
        <v>115.25</v>
      </c>
      <c r="H32" s="41">
        <f t="shared" si="5"/>
        <v>500.15000000000009</v>
      </c>
      <c r="J32" s="36" t="str">
        <f>B26&amp;B32</f>
        <v>GFB6</v>
      </c>
    </row>
    <row r="33" spans="1:25" x14ac:dyDescent="0.2">
      <c r="A33" s="39" t="s">
        <v>18</v>
      </c>
      <c r="B33" s="36" t="s">
        <v>32</v>
      </c>
      <c r="C33" s="41">
        <f t="shared" si="0"/>
        <v>172.56</v>
      </c>
      <c r="D33" s="41">
        <f t="shared" si="1"/>
        <v>749.07</v>
      </c>
      <c r="E33" s="41">
        <f t="shared" si="2"/>
        <v>253.57999999999998</v>
      </c>
      <c r="F33" s="41">
        <f t="shared" si="3"/>
        <v>823.9799999999999</v>
      </c>
      <c r="G33" s="41">
        <f t="shared" si="4"/>
        <v>141.08999999999997</v>
      </c>
      <c r="H33" s="41">
        <f t="shared" si="5"/>
        <v>524.35</v>
      </c>
      <c r="J33" s="36" t="str">
        <f>B26&amp;B33</f>
        <v>GFH1</v>
      </c>
    </row>
    <row r="34" spans="1:25" x14ac:dyDescent="0.2">
      <c r="A34" s="39" t="s">
        <v>19</v>
      </c>
      <c r="B34" s="36" t="s">
        <v>33</v>
      </c>
      <c r="C34" s="41">
        <f t="shared" si="0"/>
        <v>58.03</v>
      </c>
      <c r="D34" s="41">
        <f t="shared" si="1"/>
        <v>628.02</v>
      </c>
      <c r="E34" s="41">
        <f t="shared" si="2"/>
        <v>127.59</v>
      </c>
      <c r="F34" s="41">
        <f t="shared" si="3"/>
        <v>690.81999999999994</v>
      </c>
      <c r="G34" s="41">
        <f t="shared" si="4"/>
        <v>60.91</v>
      </c>
      <c r="H34" s="41">
        <f t="shared" si="5"/>
        <v>439.61000000000013</v>
      </c>
      <c r="J34" s="36" t="str">
        <f>B26&amp;B34</f>
        <v>GFH2</v>
      </c>
    </row>
    <row r="35" spans="1:25" x14ac:dyDescent="0.2">
      <c r="A35" s="39" t="s">
        <v>20</v>
      </c>
      <c r="B35" s="36" t="s">
        <v>31</v>
      </c>
      <c r="C35" s="41">
        <f t="shared" si="0"/>
        <v>142.71</v>
      </c>
      <c r="D35" s="41">
        <f t="shared" si="1"/>
        <v>633.5</v>
      </c>
      <c r="E35" s="41">
        <f t="shared" si="2"/>
        <v>219.78</v>
      </c>
      <c r="F35" s="41">
        <f t="shared" si="3"/>
        <v>696.84999999999991</v>
      </c>
      <c r="G35" s="41">
        <f t="shared" si="4"/>
        <v>119.87999999999997</v>
      </c>
      <c r="H35" s="41">
        <f t="shared" si="5"/>
        <v>443.45000000000005</v>
      </c>
      <c r="J35" s="36" t="str">
        <f>B26&amp;B35</f>
        <v>GFK1</v>
      </c>
    </row>
    <row r="36" spans="1:25" x14ac:dyDescent="0.2">
      <c r="A36" s="57" t="str">
        <f>$E$20&amp;" MA Standard"</f>
        <v>Anthem MA Standard</v>
      </c>
      <c r="B36" s="36" t="s">
        <v>75</v>
      </c>
      <c r="C36" s="41">
        <f>D20</f>
        <v>146.15</v>
      </c>
      <c r="D36" s="41">
        <f>C20</f>
        <v>146.15</v>
      </c>
      <c r="E36" s="41">
        <f t="shared" ref="E36:F39" si="6">C36</f>
        <v>146.15</v>
      </c>
      <c r="F36" s="41">
        <f t="shared" si="6"/>
        <v>146.15</v>
      </c>
      <c r="G36" s="41">
        <f t="shared" ref="G36:H39" si="7">C36</f>
        <v>146.15</v>
      </c>
      <c r="H36" s="41">
        <f t="shared" si="7"/>
        <v>146.15</v>
      </c>
      <c r="J36" s="36" t="str">
        <f>B26&amp;B36</f>
        <v>GFB8</v>
      </c>
    </row>
    <row r="37" spans="1:25" x14ac:dyDescent="0.2">
      <c r="A37" s="57" t="str">
        <f>$E$20&amp;" MA Premium"</f>
        <v>Anthem MA Premium</v>
      </c>
      <c r="B37" s="36" t="s">
        <v>76</v>
      </c>
      <c r="C37" s="41">
        <f>D21</f>
        <v>182.82000000000002</v>
      </c>
      <c r="D37" s="41">
        <f>C21</f>
        <v>363.8</v>
      </c>
      <c r="E37" s="41">
        <f t="shared" si="6"/>
        <v>182.82000000000002</v>
      </c>
      <c r="F37" s="41">
        <f t="shared" si="6"/>
        <v>363.8</v>
      </c>
      <c r="G37" s="41">
        <f t="shared" si="7"/>
        <v>182.82000000000002</v>
      </c>
      <c r="H37" s="41">
        <f t="shared" si="7"/>
        <v>363.8</v>
      </c>
      <c r="J37" s="36" t="str">
        <f>B26&amp;B37</f>
        <v>GFB7</v>
      </c>
    </row>
    <row r="38" spans="1:25" x14ac:dyDescent="0.2">
      <c r="A38" s="57" t="s">
        <v>48</v>
      </c>
      <c r="B38" s="36" t="s">
        <v>35</v>
      </c>
      <c r="C38" s="41">
        <f>D16</f>
        <v>20</v>
      </c>
      <c r="D38" s="41">
        <f>C16</f>
        <v>20</v>
      </c>
      <c r="E38" s="41">
        <f t="shared" si="6"/>
        <v>20</v>
      </c>
      <c r="F38" s="41">
        <f t="shared" si="6"/>
        <v>20</v>
      </c>
      <c r="G38" s="41">
        <f t="shared" si="7"/>
        <v>20</v>
      </c>
      <c r="H38" s="41">
        <f t="shared" si="7"/>
        <v>20</v>
      </c>
      <c r="J38" s="36" t="str">
        <f>B26&amp;B38</f>
        <v>GFH4</v>
      </c>
    </row>
    <row r="39" spans="1:25" x14ac:dyDescent="0.2">
      <c r="A39" s="57" t="s">
        <v>49</v>
      </c>
      <c r="B39" s="36" t="s">
        <v>34</v>
      </c>
      <c r="C39" s="41">
        <f>D17</f>
        <v>128.22</v>
      </c>
      <c r="D39" s="41">
        <f>C17</f>
        <v>309.2</v>
      </c>
      <c r="E39" s="41">
        <f t="shared" si="6"/>
        <v>128.22</v>
      </c>
      <c r="F39" s="41">
        <f t="shared" si="6"/>
        <v>309.2</v>
      </c>
      <c r="G39" s="41">
        <f t="shared" si="7"/>
        <v>128.22</v>
      </c>
      <c r="H39" s="41">
        <f t="shared" si="7"/>
        <v>309.2</v>
      </c>
      <c r="J39" s="36" t="str">
        <f>B26&amp;B39</f>
        <v>GFH3</v>
      </c>
    </row>
    <row r="40" spans="1:25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R40" s="36"/>
    </row>
    <row r="41" spans="1:25" x14ac:dyDescent="0.2">
      <c r="A41" s="39" t="s">
        <v>44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25" x14ac:dyDescent="0.2">
      <c r="A42" s="39" t="s">
        <v>45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25" x14ac:dyDescent="0.2">
      <c r="A43" s="39" t="s">
        <v>46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25" x14ac:dyDescent="0.2">
      <c r="A44" s="37" t="s">
        <v>55</v>
      </c>
      <c r="B44" s="36"/>
      <c r="Q44" s="37"/>
      <c r="W44" s="1"/>
      <c r="X44" s="1"/>
      <c r="Y44" s="1"/>
    </row>
    <row r="45" spans="1:25" x14ac:dyDescent="0.2">
      <c r="B45" s="36"/>
      <c r="D45" s="39" t="s">
        <v>65</v>
      </c>
      <c r="T45" s="39" t="s">
        <v>80</v>
      </c>
    </row>
    <row r="46" spans="1:25" x14ac:dyDescent="0.2">
      <c r="A46" s="37" t="s">
        <v>56</v>
      </c>
      <c r="B46" s="40" t="s">
        <v>16</v>
      </c>
      <c r="C46" s="40" t="s">
        <v>54</v>
      </c>
      <c r="D46" s="40" t="s">
        <v>10</v>
      </c>
      <c r="E46" s="40" t="s">
        <v>9</v>
      </c>
      <c r="F46" s="40" t="s">
        <v>66</v>
      </c>
      <c r="G46" s="40" t="s">
        <v>67</v>
      </c>
      <c r="H46" s="40" t="s">
        <v>16</v>
      </c>
      <c r="I46" s="40" t="s">
        <v>54</v>
      </c>
      <c r="J46" s="39" t="s">
        <v>60</v>
      </c>
      <c r="Q46" s="37"/>
      <c r="T46" s="36" t="s">
        <v>77</v>
      </c>
      <c r="U46" s="36" t="s">
        <v>25</v>
      </c>
      <c r="W46" s="1"/>
      <c r="X46" s="1"/>
      <c r="Y46" s="1"/>
    </row>
    <row r="47" spans="1:25" x14ac:dyDescent="0.2">
      <c r="A47" s="46" t="s">
        <v>78</v>
      </c>
      <c r="B47" s="61">
        <v>1</v>
      </c>
      <c r="C47" s="62">
        <v>1</v>
      </c>
      <c r="H47" s="61">
        <v>1</v>
      </c>
      <c r="I47" s="62">
        <v>1</v>
      </c>
      <c r="J47" s="39" t="s">
        <v>61</v>
      </c>
      <c r="Q47" s="37"/>
      <c r="T47" s="36" t="str">
        <f t="shared" ref="T47:T68" si="8">A47</f>
        <v>0-9</v>
      </c>
      <c r="U47" s="36" t="s">
        <v>79</v>
      </c>
      <c r="W47" s="1"/>
      <c r="X47" s="1"/>
      <c r="Y47" s="1"/>
    </row>
    <row r="48" spans="1:25" x14ac:dyDescent="0.2">
      <c r="A48" s="46">
        <v>10</v>
      </c>
      <c r="B48" s="61">
        <v>0.85</v>
      </c>
      <c r="C48" s="61">
        <v>0.85</v>
      </c>
      <c r="H48" s="61">
        <v>0.85</v>
      </c>
      <c r="I48" s="61">
        <v>0.85</v>
      </c>
      <c r="J48" s="39" t="s">
        <v>62</v>
      </c>
      <c r="Q48" s="37"/>
      <c r="T48" s="36">
        <f t="shared" si="8"/>
        <v>10</v>
      </c>
      <c r="W48" s="1"/>
      <c r="X48" s="1"/>
      <c r="Y48" s="1"/>
    </row>
    <row r="49" spans="1:25" x14ac:dyDescent="0.2">
      <c r="A49" s="46">
        <f t="shared" ref="A49:A67" si="9">A48+1</f>
        <v>11</v>
      </c>
      <c r="B49" s="61">
        <f t="shared" ref="B49:B68" si="10">B48-3%</f>
        <v>0.82</v>
      </c>
      <c r="C49" s="61">
        <f t="shared" ref="C49:C68" si="11">C48-2%</f>
        <v>0.83</v>
      </c>
      <c r="H49" s="61">
        <f t="shared" ref="H49:H68" si="12">H48-3%</f>
        <v>0.82</v>
      </c>
      <c r="I49" s="61">
        <f t="shared" ref="I49:I68" si="13">I48-2%</f>
        <v>0.83</v>
      </c>
      <c r="Q49" s="37"/>
      <c r="T49" s="36">
        <f t="shared" si="8"/>
        <v>11</v>
      </c>
      <c r="W49" s="1"/>
      <c r="X49" s="1"/>
      <c r="Y49" s="1"/>
    </row>
    <row r="50" spans="1:25" x14ac:dyDescent="0.2">
      <c r="A50" s="46">
        <f t="shared" si="9"/>
        <v>12</v>
      </c>
      <c r="B50" s="61">
        <f t="shared" si="10"/>
        <v>0.78999999999999992</v>
      </c>
      <c r="C50" s="61">
        <f t="shared" si="11"/>
        <v>0.80999999999999994</v>
      </c>
      <c r="H50" s="61">
        <f t="shared" si="12"/>
        <v>0.78999999999999992</v>
      </c>
      <c r="I50" s="61">
        <f t="shared" si="13"/>
        <v>0.80999999999999994</v>
      </c>
      <c r="Q50" s="37"/>
      <c r="T50" s="36">
        <f t="shared" si="8"/>
        <v>12</v>
      </c>
      <c r="W50" s="1"/>
      <c r="X50" s="1"/>
      <c r="Y50" s="1"/>
    </row>
    <row r="51" spans="1:25" x14ac:dyDescent="0.2">
      <c r="A51" s="46">
        <f t="shared" si="9"/>
        <v>13</v>
      </c>
      <c r="B51" s="61">
        <f t="shared" si="10"/>
        <v>0.7599999999999999</v>
      </c>
      <c r="C51" s="61">
        <f t="shared" si="11"/>
        <v>0.78999999999999992</v>
      </c>
      <c r="H51" s="61">
        <f t="shared" si="12"/>
        <v>0.7599999999999999</v>
      </c>
      <c r="I51" s="61">
        <f t="shared" si="13"/>
        <v>0.78999999999999992</v>
      </c>
      <c r="K51" s="39" t="s">
        <v>63</v>
      </c>
      <c r="Q51" s="37"/>
      <c r="T51" s="36">
        <f t="shared" si="8"/>
        <v>13</v>
      </c>
      <c r="W51" s="1"/>
      <c r="X51" s="1"/>
      <c r="Y51" s="1"/>
    </row>
    <row r="52" spans="1:25" x14ac:dyDescent="0.2">
      <c r="A52" s="46">
        <f t="shared" si="9"/>
        <v>14</v>
      </c>
      <c r="B52" s="61">
        <f t="shared" si="10"/>
        <v>0.72999999999999987</v>
      </c>
      <c r="C52" s="61">
        <f t="shared" si="11"/>
        <v>0.76999999999999991</v>
      </c>
      <c r="H52" s="61">
        <f t="shared" si="12"/>
        <v>0.72999999999999987</v>
      </c>
      <c r="I52" s="61">
        <f t="shared" si="13"/>
        <v>0.76999999999999991</v>
      </c>
      <c r="K52" s="39" t="s">
        <v>64</v>
      </c>
      <c r="Q52" s="37"/>
      <c r="T52" s="36">
        <f t="shared" si="8"/>
        <v>14</v>
      </c>
      <c r="W52" s="1"/>
      <c r="X52" s="1"/>
      <c r="Y52" s="1"/>
    </row>
    <row r="53" spans="1:25" x14ac:dyDescent="0.2">
      <c r="A53" s="46">
        <f t="shared" si="9"/>
        <v>15</v>
      </c>
      <c r="B53" s="61">
        <f t="shared" si="10"/>
        <v>0.69999999999999984</v>
      </c>
      <c r="C53" s="61">
        <f t="shared" si="11"/>
        <v>0.74999999999999989</v>
      </c>
      <c r="H53" s="61">
        <f t="shared" si="12"/>
        <v>0.69999999999999984</v>
      </c>
      <c r="I53" s="61">
        <f t="shared" si="13"/>
        <v>0.74999999999999989</v>
      </c>
      <c r="L53" s="39" t="s">
        <v>72</v>
      </c>
      <c r="Q53" s="37"/>
      <c r="T53" s="36">
        <f t="shared" si="8"/>
        <v>15</v>
      </c>
      <c r="W53" s="1"/>
      <c r="X53" s="1"/>
      <c r="Y53" s="1"/>
    </row>
    <row r="54" spans="1:25" x14ac:dyDescent="0.2">
      <c r="A54" s="46">
        <f t="shared" si="9"/>
        <v>16</v>
      </c>
      <c r="B54" s="61">
        <f t="shared" si="10"/>
        <v>0.66999999999999982</v>
      </c>
      <c r="C54" s="61">
        <f t="shared" si="11"/>
        <v>0.72999999999999987</v>
      </c>
      <c r="H54" s="61">
        <f t="shared" si="12"/>
        <v>0.66999999999999982</v>
      </c>
      <c r="I54" s="61">
        <f t="shared" si="13"/>
        <v>0.72999999999999987</v>
      </c>
      <c r="L54" s="39" t="s">
        <v>25</v>
      </c>
      <c r="M54" s="39" t="s">
        <v>70</v>
      </c>
      <c r="N54" s="39" t="s">
        <v>71</v>
      </c>
      <c r="Q54" s="37"/>
      <c r="T54" s="36">
        <f t="shared" si="8"/>
        <v>16</v>
      </c>
      <c r="W54" s="1"/>
      <c r="X54" s="1"/>
      <c r="Y54" s="1"/>
    </row>
    <row r="55" spans="1:25" x14ac:dyDescent="0.2">
      <c r="A55" s="46">
        <f t="shared" si="9"/>
        <v>17</v>
      </c>
      <c r="B55" s="61">
        <f t="shared" si="10"/>
        <v>0.63999999999999979</v>
      </c>
      <c r="C55" s="61">
        <f t="shared" si="11"/>
        <v>0.70999999999999985</v>
      </c>
      <c r="H55" s="61">
        <f t="shared" si="12"/>
        <v>0.63999999999999979</v>
      </c>
      <c r="I55" s="61">
        <f t="shared" si="13"/>
        <v>0.70999999999999985</v>
      </c>
      <c r="K55" s="39" t="s">
        <v>10</v>
      </c>
      <c r="L55" s="70">
        <f>C31/D31</f>
        <v>0.11212046179083229</v>
      </c>
      <c r="M55" s="70">
        <f>E31/F31+20%</f>
        <v>0.40182892515475516</v>
      </c>
      <c r="N55" s="70">
        <f>G31/H31+20%</f>
        <v>0.35698715539539716</v>
      </c>
      <c r="Q55" s="37"/>
      <c r="T55" s="36">
        <f t="shared" si="8"/>
        <v>17</v>
      </c>
      <c r="W55" s="1"/>
      <c r="X55" s="1"/>
      <c r="Y55" s="1"/>
    </row>
    <row r="56" spans="1:25" x14ac:dyDescent="0.2">
      <c r="A56" s="46">
        <f t="shared" si="9"/>
        <v>18</v>
      </c>
      <c r="B56" s="61">
        <f t="shared" si="10"/>
        <v>0.60999999999999976</v>
      </c>
      <c r="C56" s="61">
        <f t="shared" si="11"/>
        <v>0.68999999999999984</v>
      </c>
      <c r="H56" s="61">
        <f t="shared" si="12"/>
        <v>0.60999999999999976</v>
      </c>
      <c r="I56" s="61">
        <f t="shared" si="13"/>
        <v>0.68999999999999984</v>
      </c>
      <c r="K56" s="39" t="s">
        <v>9</v>
      </c>
      <c r="L56" s="70">
        <f>C35/D35</f>
        <v>0.22527229676400948</v>
      </c>
      <c r="M56" s="70">
        <f>E35/F35+20%</f>
        <v>0.51539068666140497</v>
      </c>
      <c r="N56" s="70">
        <f>G35/H35+20%</f>
        <v>0.47033487428120413</v>
      </c>
      <c r="Q56" s="37"/>
      <c r="T56" s="36">
        <f t="shared" si="8"/>
        <v>18</v>
      </c>
      <c r="W56" s="1"/>
      <c r="X56" s="1"/>
      <c r="Y56" s="1"/>
    </row>
    <row r="57" spans="1:25" x14ac:dyDescent="0.2">
      <c r="A57" s="46">
        <f t="shared" si="9"/>
        <v>19</v>
      </c>
      <c r="B57" s="61">
        <f t="shared" si="10"/>
        <v>0.57999999999999974</v>
      </c>
      <c r="C57" s="61">
        <f t="shared" si="11"/>
        <v>0.66999999999999982</v>
      </c>
      <c r="H57" s="61">
        <f t="shared" si="12"/>
        <v>0.57999999999999974</v>
      </c>
      <c r="I57" s="61">
        <f t="shared" si="13"/>
        <v>0.66999999999999982</v>
      </c>
      <c r="K57" s="71" t="s">
        <v>68</v>
      </c>
      <c r="L57" s="70">
        <f>IFERROR(MIN(D20,D16)/MIN(C20,C16),0)</f>
        <v>1</v>
      </c>
      <c r="M57" s="70">
        <f>MIN(L57+20%,1)</f>
        <v>1</v>
      </c>
      <c r="N57" s="70">
        <f>M57</f>
        <v>1</v>
      </c>
      <c r="Q57" s="37"/>
      <c r="T57" s="36">
        <f t="shared" si="8"/>
        <v>19</v>
      </c>
      <c r="W57" s="1"/>
      <c r="X57" s="1"/>
      <c r="Y57" s="1"/>
    </row>
    <row r="58" spans="1:25" x14ac:dyDescent="0.2">
      <c r="A58" s="46">
        <f t="shared" si="9"/>
        <v>20</v>
      </c>
      <c r="B58" s="61">
        <f t="shared" si="10"/>
        <v>0.54999999999999971</v>
      </c>
      <c r="C58" s="61">
        <f t="shared" si="11"/>
        <v>0.6499999999999998</v>
      </c>
      <c r="H58" s="61">
        <f t="shared" si="12"/>
        <v>0.54999999999999971</v>
      </c>
      <c r="I58" s="61">
        <f t="shared" si="13"/>
        <v>0.6499999999999998</v>
      </c>
      <c r="K58" s="71" t="s">
        <v>69</v>
      </c>
      <c r="L58" s="70">
        <f>D17/C17</f>
        <v>0.4146830530401035</v>
      </c>
      <c r="M58" s="70">
        <f>L58+20%</f>
        <v>0.61468305304010351</v>
      </c>
      <c r="N58" s="70">
        <f>M58</f>
        <v>0.61468305304010351</v>
      </c>
      <c r="Q58" s="37"/>
      <c r="T58" s="36">
        <f t="shared" si="8"/>
        <v>20</v>
      </c>
      <c r="W58" s="1"/>
      <c r="X58" s="1"/>
      <c r="Y58" s="1"/>
    </row>
    <row r="59" spans="1:25" x14ac:dyDescent="0.2">
      <c r="A59" s="46">
        <f t="shared" si="9"/>
        <v>21</v>
      </c>
      <c r="B59" s="61">
        <f t="shared" si="10"/>
        <v>0.51999999999999968</v>
      </c>
      <c r="C59" s="61">
        <f t="shared" si="11"/>
        <v>0.62999999999999978</v>
      </c>
      <c r="H59" s="61">
        <f t="shared" si="12"/>
        <v>0.51999999999999968</v>
      </c>
      <c r="I59" s="61">
        <f t="shared" si="13"/>
        <v>0.62999999999999978</v>
      </c>
      <c r="L59" s="70"/>
      <c r="M59" s="70"/>
      <c r="N59" s="70"/>
      <c r="Q59" s="37"/>
      <c r="T59" s="36">
        <f t="shared" si="8"/>
        <v>21</v>
      </c>
      <c r="W59" s="1"/>
      <c r="X59" s="1"/>
      <c r="Y59" s="1"/>
    </row>
    <row r="60" spans="1:25" x14ac:dyDescent="0.2">
      <c r="A60" s="46">
        <f t="shared" si="9"/>
        <v>22</v>
      </c>
      <c r="B60" s="61">
        <f t="shared" si="10"/>
        <v>0.48999999999999966</v>
      </c>
      <c r="C60" s="61">
        <f t="shared" si="11"/>
        <v>0.60999999999999976</v>
      </c>
      <c r="H60" s="61">
        <f t="shared" si="12"/>
        <v>0.48999999999999966</v>
      </c>
      <c r="I60" s="61">
        <f t="shared" si="13"/>
        <v>0.60999999999999976</v>
      </c>
      <c r="L60" s="70"/>
      <c r="M60" s="70"/>
      <c r="N60" s="70"/>
      <c r="Q60" s="37"/>
      <c r="T60" s="36">
        <f t="shared" si="8"/>
        <v>22</v>
      </c>
      <c r="W60" s="1"/>
      <c r="X60" s="1"/>
      <c r="Y60" s="1"/>
    </row>
    <row r="61" spans="1:25" x14ac:dyDescent="0.2">
      <c r="A61" s="46">
        <f t="shared" si="9"/>
        <v>23</v>
      </c>
      <c r="B61" s="61">
        <f t="shared" si="10"/>
        <v>0.45999999999999963</v>
      </c>
      <c r="C61" s="61">
        <f t="shared" si="11"/>
        <v>0.58999999999999975</v>
      </c>
      <c r="H61" s="61">
        <f t="shared" si="12"/>
        <v>0.45999999999999963</v>
      </c>
      <c r="I61" s="61">
        <f t="shared" si="13"/>
        <v>0.58999999999999975</v>
      </c>
      <c r="L61" s="70"/>
      <c r="M61" s="70"/>
      <c r="N61" s="70"/>
      <c r="Q61" s="37"/>
      <c r="T61" s="36">
        <f t="shared" si="8"/>
        <v>23</v>
      </c>
      <c r="W61" s="1"/>
      <c r="X61" s="1"/>
      <c r="Y61" s="1"/>
    </row>
    <row r="62" spans="1:25" x14ac:dyDescent="0.2">
      <c r="A62" s="46">
        <f t="shared" si="9"/>
        <v>24</v>
      </c>
      <c r="B62" s="61">
        <f t="shared" si="10"/>
        <v>0.4299999999999996</v>
      </c>
      <c r="C62" s="61">
        <f t="shared" si="11"/>
        <v>0.56999999999999973</v>
      </c>
      <c r="H62" s="61">
        <f t="shared" si="12"/>
        <v>0.4299999999999996</v>
      </c>
      <c r="I62" s="61">
        <f t="shared" si="13"/>
        <v>0.56999999999999973</v>
      </c>
      <c r="Q62" s="37"/>
      <c r="T62" s="36">
        <f t="shared" si="8"/>
        <v>24</v>
      </c>
      <c r="W62" s="1"/>
      <c r="X62" s="1"/>
      <c r="Y62" s="1"/>
    </row>
    <row r="63" spans="1:25" x14ac:dyDescent="0.2">
      <c r="A63" s="46">
        <f t="shared" si="9"/>
        <v>25</v>
      </c>
      <c r="B63" s="61">
        <f t="shared" si="10"/>
        <v>0.39999999999999958</v>
      </c>
      <c r="C63" s="61">
        <f t="shared" si="11"/>
        <v>0.54999999999999971</v>
      </c>
      <c r="H63" s="61">
        <f t="shared" si="12"/>
        <v>0.39999999999999958</v>
      </c>
      <c r="I63" s="61">
        <f t="shared" si="13"/>
        <v>0.54999999999999971</v>
      </c>
      <c r="Q63" s="37"/>
      <c r="T63" s="36">
        <f t="shared" si="8"/>
        <v>25</v>
      </c>
      <c r="W63" s="1"/>
      <c r="X63" s="1"/>
      <c r="Y63" s="1"/>
    </row>
    <row r="64" spans="1:25" x14ac:dyDescent="0.2">
      <c r="A64" s="46">
        <f t="shared" si="9"/>
        <v>26</v>
      </c>
      <c r="B64" s="61">
        <f t="shared" si="10"/>
        <v>0.36999999999999955</v>
      </c>
      <c r="C64" s="61">
        <f t="shared" si="11"/>
        <v>0.52999999999999969</v>
      </c>
      <c r="H64" s="61">
        <f t="shared" si="12"/>
        <v>0.36999999999999955</v>
      </c>
      <c r="I64" s="61">
        <f t="shared" si="13"/>
        <v>0.52999999999999969</v>
      </c>
      <c r="Q64" s="37"/>
      <c r="T64" s="36">
        <f t="shared" si="8"/>
        <v>26</v>
      </c>
      <c r="W64" s="1"/>
      <c r="X64" s="1"/>
      <c r="Y64" s="1"/>
    </row>
    <row r="65" spans="1:25" x14ac:dyDescent="0.2">
      <c r="A65" s="46">
        <f t="shared" si="9"/>
        <v>27</v>
      </c>
      <c r="B65" s="61">
        <f t="shared" si="10"/>
        <v>0.33999999999999952</v>
      </c>
      <c r="C65" s="61">
        <f t="shared" si="11"/>
        <v>0.50999999999999968</v>
      </c>
      <c r="H65" s="61">
        <f t="shared" si="12"/>
        <v>0.33999999999999952</v>
      </c>
      <c r="I65" s="61">
        <f t="shared" si="13"/>
        <v>0.50999999999999968</v>
      </c>
      <c r="Q65" s="37"/>
      <c r="T65" s="36">
        <f t="shared" si="8"/>
        <v>27</v>
      </c>
      <c r="W65" s="1"/>
      <c r="X65" s="1"/>
      <c r="Y65" s="1"/>
    </row>
    <row r="66" spans="1:25" x14ac:dyDescent="0.2">
      <c r="A66" s="46">
        <f t="shared" si="9"/>
        <v>28</v>
      </c>
      <c r="B66" s="61">
        <f t="shared" si="10"/>
        <v>0.3099999999999995</v>
      </c>
      <c r="C66" s="61">
        <f t="shared" si="11"/>
        <v>0.48999999999999966</v>
      </c>
      <c r="H66" s="61">
        <f t="shared" si="12"/>
        <v>0.3099999999999995</v>
      </c>
      <c r="I66" s="61">
        <f t="shared" si="13"/>
        <v>0.48999999999999966</v>
      </c>
      <c r="Q66" s="37"/>
      <c r="T66" s="36">
        <f t="shared" si="8"/>
        <v>28</v>
      </c>
      <c r="W66" s="1"/>
      <c r="X66" s="1"/>
      <c r="Y66" s="1"/>
    </row>
    <row r="67" spans="1:25" x14ac:dyDescent="0.2">
      <c r="A67" s="46">
        <f t="shared" si="9"/>
        <v>29</v>
      </c>
      <c r="B67" s="61">
        <f t="shared" si="10"/>
        <v>0.27999999999999947</v>
      </c>
      <c r="C67" s="61">
        <f t="shared" si="11"/>
        <v>0.46999999999999964</v>
      </c>
      <c r="H67" s="61">
        <f t="shared" si="12"/>
        <v>0.27999999999999947</v>
      </c>
      <c r="I67" s="61">
        <f t="shared" si="13"/>
        <v>0.46999999999999964</v>
      </c>
      <c r="Q67" s="37"/>
      <c r="T67" s="36">
        <f t="shared" si="8"/>
        <v>29</v>
      </c>
      <c r="W67" s="1"/>
      <c r="X67" s="1"/>
      <c r="Y67" s="1"/>
    </row>
    <row r="68" spans="1:25" x14ac:dyDescent="0.2">
      <c r="A68" s="46" t="str">
        <f>(A67+1)&amp;"+"</f>
        <v>30+</v>
      </c>
      <c r="B68" s="61">
        <f t="shared" si="10"/>
        <v>0.24999999999999947</v>
      </c>
      <c r="C68" s="61">
        <f t="shared" si="11"/>
        <v>0.44999999999999962</v>
      </c>
      <c r="H68" s="61">
        <f t="shared" si="12"/>
        <v>0.24999999999999947</v>
      </c>
      <c r="I68" s="61">
        <f t="shared" si="13"/>
        <v>0.44999999999999962</v>
      </c>
      <c r="Q68" s="37"/>
      <c r="T68" s="36" t="str">
        <f t="shared" si="8"/>
        <v>30+</v>
      </c>
      <c r="W68" s="1"/>
      <c r="X68" s="1"/>
      <c r="Y68" s="1"/>
    </row>
    <row r="69" spans="1:25" x14ac:dyDescent="0.2">
      <c r="A69" s="37"/>
      <c r="B69" s="61"/>
      <c r="C69" s="61"/>
      <c r="Q69" s="37"/>
      <c r="W69" s="1"/>
      <c r="X69" s="1"/>
      <c r="Y69" s="1"/>
    </row>
    <row r="70" spans="1:25" x14ac:dyDescent="0.2">
      <c r="A70" s="39" t="s">
        <v>73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R70" s="36"/>
      <c r="S70" s="36"/>
      <c r="T70" s="36"/>
      <c r="U70" s="36"/>
      <c r="V70" s="36"/>
      <c r="W70" s="31"/>
      <c r="X70" s="31"/>
      <c r="Y70" s="31"/>
    </row>
    <row r="71" spans="1:25" x14ac:dyDescent="0.2">
      <c r="A71" s="39" t="s">
        <v>74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R71" s="36"/>
      <c r="S71" s="36"/>
      <c r="T71" s="36"/>
      <c r="U71" s="36"/>
      <c r="V71" s="36"/>
      <c r="W71" s="31"/>
      <c r="X71" s="31"/>
      <c r="Y71" s="31"/>
    </row>
    <row r="72" spans="1:25" x14ac:dyDescent="0.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Q72" s="36"/>
      <c r="R72" s="36"/>
      <c r="S72" s="36"/>
      <c r="T72" s="36"/>
      <c r="U72" s="36"/>
      <c r="V72" s="36"/>
      <c r="W72" s="31"/>
      <c r="X72" s="31"/>
    </row>
    <row r="73" spans="1:25" x14ac:dyDescent="0.2">
      <c r="A73" s="39" t="s">
        <v>57</v>
      </c>
      <c r="B73" s="40" t="str">
        <f>'Exh-Subsidy MA '!C7</f>
        <v>0-9</v>
      </c>
      <c r="C73" s="61"/>
      <c r="K73" s="41"/>
      <c r="P73" s="37"/>
      <c r="W73" s="1"/>
      <c r="X73" s="1"/>
    </row>
    <row r="74" spans="1:25" x14ac:dyDescent="0.2">
      <c r="A74" s="37" t="s">
        <v>43</v>
      </c>
      <c r="B74" s="36"/>
      <c r="C74" s="60" t="s">
        <v>25</v>
      </c>
      <c r="D74" s="60"/>
      <c r="E74" s="60" t="s">
        <v>142</v>
      </c>
      <c r="F74" s="60"/>
      <c r="G74" s="60" t="s">
        <v>139</v>
      </c>
      <c r="H74" s="60"/>
      <c r="I74" s="60" t="s">
        <v>143</v>
      </c>
      <c r="J74" s="60"/>
      <c r="K74" s="41"/>
      <c r="L74" s="60"/>
      <c r="M74" s="60"/>
      <c r="N74" s="60"/>
      <c r="O74" s="60"/>
      <c r="P74" s="60"/>
      <c r="Q74" s="60"/>
    </row>
    <row r="75" spans="1:25" x14ac:dyDescent="0.2">
      <c r="A75" s="57"/>
      <c r="B75" s="40" t="s">
        <v>39</v>
      </c>
      <c r="C75" s="36" t="s">
        <v>40</v>
      </c>
      <c r="D75" s="36" t="s">
        <v>138</v>
      </c>
      <c r="E75" s="36" t="s">
        <v>40</v>
      </c>
      <c r="F75" s="36" t="s">
        <v>138</v>
      </c>
      <c r="G75" s="36" t="s">
        <v>40</v>
      </c>
      <c r="H75" s="36" t="s">
        <v>138</v>
      </c>
      <c r="I75" s="36" t="s">
        <v>40</v>
      </c>
      <c r="J75" s="36" t="s">
        <v>138</v>
      </c>
      <c r="K75" s="41"/>
      <c r="L75" s="36"/>
      <c r="M75" s="36"/>
      <c r="N75" s="36"/>
      <c r="O75" s="36"/>
      <c r="P75" s="36"/>
      <c r="Q75" s="36"/>
    </row>
    <row r="76" spans="1:25" x14ac:dyDescent="0.2">
      <c r="A76" s="39" t="s">
        <v>6</v>
      </c>
      <c r="B76" s="36" t="s">
        <v>27</v>
      </c>
      <c r="C76" s="41">
        <f>ROUND(MAX(D76-D78+C78,$C$29),2)</f>
        <v>749.57</v>
      </c>
      <c r="D76" s="41">
        <f t="shared" ref="D76:D82" si="14">C6</f>
        <v>749.57</v>
      </c>
      <c r="E76" s="41">
        <f>ROUND(MAX(E78+F76-F78,$E$29),2)</f>
        <v>824.53</v>
      </c>
      <c r="F76" s="41">
        <f t="shared" ref="F76:F81" si="15">E6-C6</f>
        <v>824.52999999999986</v>
      </c>
      <c r="G76" s="41">
        <f>ROUND(MAX(G78+H76-H78,$G$29),2)</f>
        <v>524.70000000000005</v>
      </c>
      <c r="H76" s="41">
        <f t="shared" ref="H76:H82" si="16">D6-C6</f>
        <v>524.69999999999993</v>
      </c>
      <c r="I76" s="41">
        <f>E76</f>
        <v>824.53</v>
      </c>
      <c r="J76" s="41"/>
      <c r="K76" s="41"/>
      <c r="L76" s="41"/>
      <c r="M76" s="41"/>
      <c r="N76" s="41"/>
      <c r="O76" s="41"/>
      <c r="P76" s="41"/>
      <c r="Q76" s="41"/>
    </row>
    <row r="77" spans="1:25" x14ac:dyDescent="0.2">
      <c r="A77" s="39" t="s">
        <v>7</v>
      </c>
      <c r="B77" s="36" t="s">
        <v>28</v>
      </c>
      <c r="C77" s="41">
        <f>ROUND(MAX(D77-D78+C78,$C$30),2)</f>
        <v>686.61</v>
      </c>
      <c r="D77" s="41">
        <f t="shared" si="14"/>
        <v>686.61</v>
      </c>
      <c r="E77" s="41">
        <f>ROUND(MAX(E78+F77-F78,$E$30),2)</f>
        <v>755.27</v>
      </c>
      <c r="F77" s="41">
        <f t="shared" si="15"/>
        <v>755.2700000000001</v>
      </c>
      <c r="G77" s="41">
        <f>ROUND(MAX(G78+H77-H78,$G$30),2)</f>
        <v>480.63</v>
      </c>
      <c r="H77" s="41">
        <f t="shared" si="16"/>
        <v>480.63</v>
      </c>
      <c r="I77" s="41">
        <f t="shared" ref="I77:I81" si="17">E77</f>
        <v>755.27</v>
      </c>
      <c r="J77" s="41"/>
      <c r="K77" s="41"/>
      <c r="L77" s="41"/>
      <c r="M77" s="41"/>
      <c r="N77" s="41"/>
      <c r="O77" s="41"/>
      <c r="P77" s="41"/>
      <c r="Q77" s="41"/>
    </row>
    <row r="78" spans="1:25" x14ac:dyDescent="0.2">
      <c r="A78" s="51" t="s">
        <v>8</v>
      </c>
      <c r="B78" s="40" t="s">
        <v>29</v>
      </c>
      <c r="C78" s="47">
        <f>IF(B73="0-9",D78,ROUND(MAX(VLOOKUP($B73,$A$47:$C$68,2)*D78,$C$31),2))</f>
        <v>646.17999999999995</v>
      </c>
      <c r="D78" s="41">
        <f t="shared" si="14"/>
        <v>646.17999999999995</v>
      </c>
      <c r="E78" s="47">
        <f>IF(B73="0-9",F78,ROUND(MAX(VLOOKUP($B73,$A$47:$C$68,3),$M$55)*F78,2))</f>
        <v>710.80000000000007</v>
      </c>
      <c r="F78" s="41">
        <f t="shared" si="15"/>
        <v>710.80000000000007</v>
      </c>
      <c r="G78" s="47">
        <f>IF(B73="0-9",H78,ROUND(MAX(VLOOKUP($B73,$A$47:$C$68,3),$N$55)*H78,2))</f>
        <v>452.33000000000004</v>
      </c>
      <c r="H78" s="41">
        <f t="shared" si="16"/>
        <v>452.33000000000004</v>
      </c>
      <c r="I78" s="41">
        <f t="shared" si="17"/>
        <v>710.80000000000007</v>
      </c>
      <c r="J78" s="41"/>
      <c r="K78" s="41"/>
      <c r="L78" s="47"/>
      <c r="M78" s="47"/>
      <c r="N78" s="47"/>
      <c r="O78" s="47"/>
      <c r="P78" s="47"/>
      <c r="Q78" s="47"/>
    </row>
    <row r="79" spans="1:25" x14ac:dyDescent="0.2">
      <c r="A79" s="39" t="s">
        <v>17</v>
      </c>
      <c r="B79" s="36" t="s">
        <v>30</v>
      </c>
      <c r="C79" s="41">
        <f>ROUND(MAX(D79-D78+C78,$C$32),2)</f>
        <v>714.5</v>
      </c>
      <c r="D79" s="41">
        <f t="shared" si="14"/>
        <v>714.5</v>
      </c>
      <c r="E79" s="41">
        <f>ROUND(MAX(E78+F79-F78,$E$32),2)</f>
        <v>785.95</v>
      </c>
      <c r="F79" s="41">
        <f t="shared" si="15"/>
        <v>785.95</v>
      </c>
      <c r="G79" s="41">
        <f>ROUND(MAX(G78+H79-H78,$G$32),2)</f>
        <v>500.15</v>
      </c>
      <c r="H79" s="41">
        <f t="shared" si="16"/>
        <v>500.15000000000009</v>
      </c>
      <c r="I79" s="41">
        <f t="shared" si="17"/>
        <v>785.95</v>
      </c>
      <c r="J79" s="41"/>
      <c r="K79" s="41"/>
      <c r="L79" s="41"/>
      <c r="M79" s="41"/>
      <c r="N79" s="41"/>
      <c r="O79" s="41"/>
      <c r="P79" s="41"/>
      <c r="Q79" s="41"/>
    </row>
    <row r="80" spans="1:25" x14ac:dyDescent="0.2">
      <c r="A80" s="39" t="s">
        <v>18</v>
      </c>
      <c r="B80" s="36" t="s">
        <v>32</v>
      </c>
      <c r="C80" s="41">
        <f>ROUND(MAX(D80-D78+C78,$C$33),2)</f>
        <v>749.07</v>
      </c>
      <c r="D80" s="41">
        <f t="shared" si="14"/>
        <v>749.07</v>
      </c>
      <c r="E80" s="41">
        <f>ROUND(MAX(E78+F80-F78,$E$33),2)</f>
        <v>823.98</v>
      </c>
      <c r="F80" s="41">
        <f t="shared" si="15"/>
        <v>823.9799999999999</v>
      </c>
      <c r="G80" s="41">
        <f>ROUND(MAX(G78+H80-H78,$G$33),2)</f>
        <v>524.35</v>
      </c>
      <c r="H80" s="41">
        <f t="shared" si="16"/>
        <v>524.35</v>
      </c>
      <c r="I80" s="41">
        <f t="shared" si="17"/>
        <v>823.98</v>
      </c>
      <c r="J80" s="41"/>
      <c r="K80" s="41"/>
      <c r="L80" s="41"/>
      <c r="M80" s="41"/>
      <c r="N80" s="41"/>
      <c r="O80" s="41"/>
      <c r="P80" s="41"/>
      <c r="Q80" s="41"/>
    </row>
    <row r="81" spans="1:35" x14ac:dyDescent="0.2">
      <c r="A81" s="39" t="s">
        <v>19</v>
      </c>
      <c r="B81" s="36" t="s">
        <v>33</v>
      </c>
      <c r="C81" s="41">
        <f>ROUND(MAX(D81-D78+C78,$C$34),2)</f>
        <v>628.02</v>
      </c>
      <c r="D81" s="41">
        <f t="shared" si="14"/>
        <v>628.02</v>
      </c>
      <c r="E81" s="41">
        <f>ROUND(MAX(E78+F81-F78,$E$34),2)</f>
        <v>690.82</v>
      </c>
      <c r="F81" s="41">
        <f t="shared" si="15"/>
        <v>690.81999999999994</v>
      </c>
      <c r="G81" s="41">
        <f>ROUND(MAX(G78+H81-H78,$G$34),2)</f>
        <v>439.61</v>
      </c>
      <c r="H81" s="41">
        <f t="shared" si="16"/>
        <v>439.61000000000013</v>
      </c>
      <c r="I81" s="41">
        <f t="shared" si="17"/>
        <v>690.82</v>
      </c>
      <c r="J81" s="41"/>
      <c r="K81" s="41"/>
      <c r="L81" s="41"/>
      <c r="M81" s="41"/>
      <c r="N81" s="41"/>
      <c r="O81" s="41"/>
      <c r="P81" s="41"/>
      <c r="Q81" s="41"/>
    </row>
    <row r="82" spans="1:35" x14ac:dyDescent="0.2">
      <c r="A82" s="51" t="s">
        <v>20</v>
      </c>
      <c r="B82" s="40" t="s">
        <v>31</v>
      </c>
      <c r="C82" s="47">
        <f>IF(B73="0-9",D82,ROUND(MAX(VLOOKUP($B73,$A$47:$C$68,2)*D82,$C$35),2))</f>
        <v>633.5</v>
      </c>
      <c r="D82" s="41">
        <f t="shared" si="14"/>
        <v>633.5</v>
      </c>
      <c r="E82" s="47">
        <f>IF(B73="0-9",F82,ROUND(MAX(VLOOKUP($B73,$A$47:$C$68,3),$M$56)*F82,2))</f>
        <v>633.5</v>
      </c>
      <c r="F82" s="41">
        <f>D82</f>
        <v>633.5</v>
      </c>
      <c r="G82" s="47">
        <f>IF(B73="0-9",H82,ROUND(MAX(VLOOKUP($B73,$A$47:$C$68,3),$N$56)*H82,2))</f>
        <v>443.45000000000005</v>
      </c>
      <c r="H82" s="41">
        <f t="shared" si="16"/>
        <v>443.45000000000005</v>
      </c>
      <c r="I82" s="47">
        <f>IF(B73="0-9",J82,ROUND(MAX(VLOOKUP($B73,$A$47:$C$68,3),$M$56)*J82,2))</f>
        <v>696.84999999999991</v>
      </c>
      <c r="J82" s="41">
        <f>E12-C12</f>
        <v>696.84999999999991</v>
      </c>
      <c r="K82" s="68" t="s">
        <v>146</v>
      </c>
      <c r="L82" s="47"/>
      <c r="M82" s="47"/>
      <c r="N82" s="47"/>
      <c r="O82" s="47"/>
      <c r="P82" s="47"/>
      <c r="Q82" s="47"/>
    </row>
    <row r="83" spans="1:35" x14ac:dyDescent="0.2">
      <c r="A83" s="57" t="str">
        <f>$E$20&amp;" MA Standard"</f>
        <v>Anthem MA Standard</v>
      </c>
      <c r="B83" s="36" t="s">
        <v>75</v>
      </c>
      <c r="C83" s="41">
        <f>ROUND(MAX(C85+D83-D85,$C$36),2)</f>
        <v>146.15</v>
      </c>
      <c r="D83" s="41">
        <f>C20</f>
        <v>146.15</v>
      </c>
      <c r="E83" s="41">
        <f>ROUND(MAX(E85+F83-F85,$E$36),2)</f>
        <v>146.15</v>
      </c>
      <c r="F83" s="41">
        <f>$D83</f>
        <v>146.15</v>
      </c>
      <c r="G83" s="41">
        <f>E83</f>
        <v>146.15</v>
      </c>
      <c r="H83" s="41">
        <f>F83</f>
        <v>146.15</v>
      </c>
      <c r="I83" s="41">
        <f t="shared" ref="I83:I86" si="18">E83</f>
        <v>146.15</v>
      </c>
      <c r="J83" s="41"/>
      <c r="K83" s="41"/>
      <c r="L83" s="41"/>
      <c r="M83" s="41"/>
      <c r="N83" s="41"/>
      <c r="O83" s="41"/>
      <c r="P83" s="41"/>
      <c r="Q83" s="41"/>
    </row>
    <row r="84" spans="1:35" x14ac:dyDescent="0.2">
      <c r="A84" s="39" t="str">
        <f>$E$20&amp;" MA Premium"</f>
        <v>Anthem MA Premium</v>
      </c>
      <c r="B84" s="36" t="s">
        <v>76</v>
      </c>
      <c r="C84" s="41">
        <f>ROUND(MAX(C86+D84-D86,$C$37),2)</f>
        <v>363.8</v>
      </c>
      <c r="D84" s="41">
        <f>C21</f>
        <v>363.8</v>
      </c>
      <c r="E84" s="41">
        <f>ROUND(MAX(E86+F84-F86,$E$37),2)</f>
        <v>363.8</v>
      </c>
      <c r="F84" s="41">
        <f t="shared" ref="F84:F86" si="19">$D84</f>
        <v>363.8</v>
      </c>
      <c r="G84" s="41">
        <f>E84</f>
        <v>363.8</v>
      </c>
      <c r="H84" s="41">
        <f t="shared" ref="H84:H86" si="20">F84</f>
        <v>363.8</v>
      </c>
      <c r="I84" s="41">
        <f t="shared" si="18"/>
        <v>363.8</v>
      </c>
      <c r="J84" s="41"/>
      <c r="K84" s="41"/>
      <c r="L84" s="41"/>
      <c r="M84" s="41"/>
      <c r="N84" s="41"/>
      <c r="O84" s="41"/>
      <c r="P84" s="41"/>
      <c r="Q84" s="41"/>
    </row>
    <row r="85" spans="1:35" x14ac:dyDescent="0.2">
      <c r="A85" s="51" t="s">
        <v>48</v>
      </c>
      <c r="B85" s="40" t="s">
        <v>35</v>
      </c>
      <c r="C85" s="47">
        <f>IF(B73="0-9",D85,ROUND(MAX(VLOOKUP($B73,$A$47:$C$68,2)*D85,$C$38),2))</f>
        <v>20</v>
      </c>
      <c r="D85" s="41">
        <f>C16</f>
        <v>20</v>
      </c>
      <c r="E85" s="47">
        <f>IF(B73="0-9",F85,ROUND(MAX(VLOOKUP($B73,$A$47:$C$68,3),$M$57)*$C$16,2))</f>
        <v>20</v>
      </c>
      <c r="F85" s="41">
        <f t="shared" si="19"/>
        <v>20</v>
      </c>
      <c r="G85" s="41">
        <f>E85</f>
        <v>20</v>
      </c>
      <c r="H85" s="41">
        <f t="shared" si="20"/>
        <v>20</v>
      </c>
      <c r="I85" s="41">
        <f t="shared" si="18"/>
        <v>20</v>
      </c>
      <c r="J85" s="41"/>
      <c r="K85" s="41"/>
      <c r="L85" s="47"/>
      <c r="M85" s="47"/>
      <c r="N85" s="47"/>
      <c r="O85" s="47"/>
      <c r="P85" s="47"/>
      <c r="Q85" s="47"/>
    </row>
    <row r="86" spans="1:35" x14ac:dyDescent="0.2">
      <c r="A86" s="37" t="s">
        <v>49</v>
      </c>
      <c r="B86" s="40" t="s">
        <v>34</v>
      </c>
      <c r="C86" s="47">
        <f>IF(B73="0-9",D86,ROUND(MAX(VLOOKUP($B73,$A$47:$C$68,2)*D86,$C$39),2))</f>
        <v>309.2</v>
      </c>
      <c r="D86" s="41">
        <f>C17</f>
        <v>309.2</v>
      </c>
      <c r="E86" s="47">
        <f>IF(B73="0-9",F86,ROUND(MAX(VLOOKUP($B73,$A$47:$C$68,3),$M$58)*F86,2))</f>
        <v>309.2</v>
      </c>
      <c r="F86" s="41">
        <f t="shared" si="19"/>
        <v>309.2</v>
      </c>
      <c r="G86" s="41">
        <f>E86</f>
        <v>309.2</v>
      </c>
      <c r="H86" s="41">
        <f t="shared" si="20"/>
        <v>309.2</v>
      </c>
      <c r="I86" s="41">
        <f t="shared" si="18"/>
        <v>309.2</v>
      </c>
      <c r="J86" s="41"/>
      <c r="K86" s="41"/>
      <c r="L86" s="47"/>
      <c r="M86" s="47"/>
      <c r="N86" s="47"/>
      <c r="O86" s="47"/>
      <c r="P86" s="47"/>
      <c r="Q86" s="47"/>
    </row>
    <row r="87" spans="1:35" x14ac:dyDescent="0.2">
      <c r="B87" s="36" t="s">
        <v>37</v>
      </c>
      <c r="C87" s="36">
        <v>2</v>
      </c>
      <c r="D87" s="36">
        <f t="shared" ref="D87" si="21">C87+1</f>
        <v>3</v>
      </c>
      <c r="E87" s="36">
        <f t="shared" ref="E87" si="22">D87+1</f>
        <v>4</v>
      </c>
      <c r="F87" s="36">
        <f t="shared" ref="F87" si="23">E87+1</f>
        <v>5</v>
      </c>
      <c r="G87" s="36">
        <f t="shared" ref="G87" si="24">F87+1</f>
        <v>6</v>
      </c>
      <c r="H87" s="36">
        <f t="shared" ref="H87:I87" si="25">G87+1</f>
        <v>7</v>
      </c>
      <c r="I87" s="36">
        <f t="shared" si="25"/>
        <v>8</v>
      </c>
      <c r="J87" s="41"/>
      <c r="K87" s="41"/>
      <c r="L87" s="36"/>
      <c r="M87" s="36"/>
      <c r="N87" s="36"/>
      <c r="O87" s="36"/>
      <c r="P87" s="36"/>
      <c r="Q87" s="36"/>
    </row>
    <row r="88" spans="1:35" ht="13.5" thickBot="1" x14ac:dyDescent="0.25"/>
    <row r="89" spans="1:35" s="4" customFormat="1" ht="15.75" customHeight="1" x14ac:dyDescent="0.2">
      <c r="A89" s="63"/>
      <c r="B89" s="63"/>
      <c r="C89" s="63"/>
      <c r="D89" s="140" t="s">
        <v>127</v>
      </c>
      <c r="E89" s="140"/>
      <c r="F89" s="140" t="s">
        <v>51</v>
      </c>
      <c r="G89" s="140"/>
      <c r="H89" s="64" t="s">
        <v>128</v>
      </c>
      <c r="I89" s="64"/>
      <c r="J89" s="64" t="s">
        <v>129</v>
      </c>
      <c r="K89" s="64"/>
      <c r="L89" s="64" t="s">
        <v>130</v>
      </c>
      <c r="M89" s="64"/>
      <c r="N89" s="64" t="s">
        <v>131</v>
      </c>
      <c r="O89" s="64"/>
      <c r="P89" s="64" t="s">
        <v>132</v>
      </c>
      <c r="Q89" s="64"/>
      <c r="R89" s="64" t="s">
        <v>133</v>
      </c>
      <c r="S89" s="64"/>
      <c r="T89" s="64" t="s">
        <v>134</v>
      </c>
      <c r="U89" s="64"/>
      <c r="V89" s="64" t="s">
        <v>120</v>
      </c>
      <c r="W89" s="50"/>
      <c r="X89" s="5" t="s">
        <v>121</v>
      </c>
      <c r="Y89" s="5"/>
      <c r="Z89" s="5" t="s">
        <v>122</v>
      </c>
      <c r="AA89" s="5"/>
      <c r="AB89" s="5" t="s">
        <v>123</v>
      </c>
      <c r="AC89" s="5"/>
      <c r="AD89" s="5" t="s">
        <v>22</v>
      </c>
      <c r="AE89" s="5"/>
      <c r="AF89" s="5" t="s">
        <v>23</v>
      </c>
      <c r="AG89" s="5"/>
      <c r="AH89" s="5" t="s">
        <v>24</v>
      </c>
      <c r="AI89" s="6"/>
    </row>
    <row r="90" spans="1:35" s="3" customFormat="1" ht="15.75" customHeight="1" thickBot="1" x14ac:dyDescent="0.25">
      <c r="A90" s="63" t="s">
        <v>83</v>
      </c>
      <c r="B90" s="63"/>
      <c r="C90" s="63"/>
      <c r="D90" s="65" t="s">
        <v>52</v>
      </c>
      <c r="E90" s="65" t="s">
        <v>38</v>
      </c>
      <c r="F90" s="65" t="s">
        <v>52</v>
      </c>
      <c r="G90" s="65" t="s">
        <v>38</v>
      </c>
      <c r="H90" s="65" t="s">
        <v>52</v>
      </c>
      <c r="I90" s="65" t="s">
        <v>38</v>
      </c>
      <c r="J90" s="65" t="s">
        <v>52</v>
      </c>
      <c r="K90" s="65" t="s">
        <v>38</v>
      </c>
      <c r="L90" s="65" t="s">
        <v>52</v>
      </c>
      <c r="M90" s="65" t="s">
        <v>38</v>
      </c>
      <c r="N90" s="65" t="s">
        <v>52</v>
      </c>
      <c r="O90" s="65" t="s">
        <v>38</v>
      </c>
      <c r="P90" s="65" t="s">
        <v>52</v>
      </c>
      <c r="Q90" s="65" t="s">
        <v>38</v>
      </c>
      <c r="R90" s="65" t="s">
        <v>52</v>
      </c>
      <c r="S90" s="65" t="s">
        <v>38</v>
      </c>
      <c r="T90" s="65" t="s">
        <v>52</v>
      </c>
      <c r="U90" s="65" t="s">
        <v>38</v>
      </c>
      <c r="V90" s="65" t="s">
        <v>52</v>
      </c>
      <c r="W90" s="33" t="s">
        <v>38</v>
      </c>
      <c r="X90" s="34" t="s">
        <v>52</v>
      </c>
      <c r="Y90" s="34" t="s">
        <v>38</v>
      </c>
      <c r="Z90" s="34" t="s">
        <v>52</v>
      </c>
      <c r="AA90" s="34" t="s">
        <v>38</v>
      </c>
      <c r="AB90" s="34" t="s">
        <v>52</v>
      </c>
      <c r="AC90" s="34" t="s">
        <v>38</v>
      </c>
      <c r="AD90" s="34" t="s">
        <v>52</v>
      </c>
      <c r="AE90" s="34" t="s">
        <v>38</v>
      </c>
      <c r="AF90" s="34" t="s">
        <v>52</v>
      </c>
      <c r="AG90" s="34" t="s">
        <v>38</v>
      </c>
      <c r="AH90" s="34" t="s">
        <v>52</v>
      </c>
      <c r="AI90" s="35" t="s">
        <v>38</v>
      </c>
    </row>
    <row r="91" spans="1:35" s="2" customFormat="1" x14ac:dyDescent="0.2">
      <c r="A91" s="48" t="s">
        <v>85</v>
      </c>
      <c r="B91" s="48"/>
      <c r="C91" s="48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1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1"/>
    </row>
    <row r="92" spans="1:35" s="2" customFormat="1" x14ac:dyDescent="0.2">
      <c r="A92" s="42" t="s">
        <v>106</v>
      </c>
      <c r="B92" s="42"/>
      <c r="C92" s="42"/>
      <c r="D92" s="66">
        <f>D122</f>
        <v>363.8</v>
      </c>
      <c r="E92" s="66">
        <f t="shared" ref="E92:G92" si="26">E122</f>
        <v>146.15</v>
      </c>
      <c r="F92" s="66">
        <f t="shared" si="26"/>
        <v>309.2</v>
      </c>
      <c r="G92" s="66">
        <f t="shared" si="26"/>
        <v>20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21"/>
      <c r="X92" s="20"/>
      <c r="Y92" s="20"/>
      <c r="Z92" s="20"/>
      <c r="AA92" s="20"/>
      <c r="AB92" s="20"/>
      <c r="AC92" s="23"/>
      <c r="AD92" s="19"/>
      <c r="AE92" s="20"/>
      <c r="AF92" s="20"/>
      <c r="AG92" s="22"/>
      <c r="AH92" s="19"/>
      <c r="AI92" s="22"/>
    </row>
    <row r="93" spans="1:35" s="2" customFormat="1" ht="6" customHeight="1" x14ac:dyDescent="0.2">
      <c r="A93" s="49"/>
      <c r="B93" s="49"/>
      <c r="C93" s="49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6"/>
      <c r="W93" s="28"/>
      <c r="X93" s="25"/>
      <c r="Y93" s="25"/>
      <c r="Z93" s="25"/>
      <c r="AA93" s="25"/>
      <c r="AB93" s="25"/>
      <c r="AC93" s="26"/>
      <c r="AD93" s="24"/>
      <c r="AE93" s="25"/>
      <c r="AF93" s="25"/>
      <c r="AG93" s="27"/>
      <c r="AH93" s="24"/>
      <c r="AI93" s="27"/>
    </row>
    <row r="94" spans="1:35" s="2" customFormat="1" x14ac:dyDescent="0.2">
      <c r="A94" s="48" t="s">
        <v>26</v>
      </c>
      <c r="B94" s="48"/>
      <c r="C94" s="4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6"/>
      <c r="W94" s="28"/>
      <c r="X94" s="25"/>
      <c r="Y94" s="25"/>
      <c r="Z94" s="25"/>
      <c r="AA94" s="25"/>
      <c r="AB94" s="25"/>
      <c r="AC94" s="26"/>
      <c r="AD94" s="24"/>
      <c r="AE94" s="25"/>
      <c r="AF94" s="25"/>
      <c r="AG94" s="27"/>
      <c r="AH94" s="24"/>
      <c r="AI94" s="27"/>
    </row>
    <row r="95" spans="1:35" s="2" customFormat="1" x14ac:dyDescent="0.2">
      <c r="A95" s="42" t="s">
        <v>107</v>
      </c>
      <c r="B95" s="49"/>
      <c r="C95" s="49"/>
      <c r="D95" s="67"/>
      <c r="E95" s="67"/>
      <c r="F95" s="67"/>
      <c r="G95" s="67"/>
      <c r="H95" s="66">
        <f>H122+H119</f>
        <v>1188.33</v>
      </c>
      <c r="I95" s="66">
        <f t="shared" ref="I95:P95" si="27">I122+I119</f>
        <v>970.68</v>
      </c>
      <c r="J95" s="66">
        <f t="shared" si="27"/>
        <v>1119.07</v>
      </c>
      <c r="K95" s="66">
        <f t="shared" si="27"/>
        <v>901.42</v>
      </c>
      <c r="L95" s="66">
        <f t="shared" si="27"/>
        <v>1074.6000000000001</v>
      </c>
      <c r="M95" s="66">
        <f t="shared" si="27"/>
        <v>856.95</v>
      </c>
      <c r="N95" s="66">
        <f t="shared" si="27"/>
        <v>1149.75</v>
      </c>
      <c r="O95" s="66">
        <f t="shared" si="27"/>
        <v>932.1</v>
      </c>
      <c r="P95" s="66">
        <f t="shared" si="27"/>
        <v>1187.78</v>
      </c>
      <c r="Q95" s="66">
        <f t="shared" ref="Q95:AI95" si="28">Q122+Q119</f>
        <v>970.13</v>
      </c>
      <c r="R95" s="66">
        <f t="shared" si="28"/>
        <v>1054.6200000000001</v>
      </c>
      <c r="S95" s="66">
        <f t="shared" si="28"/>
        <v>836.97</v>
      </c>
      <c r="T95" s="66">
        <f t="shared" si="28"/>
        <v>997.3</v>
      </c>
      <c r="U95" s="66">
        <f t="shared" si="28"/>
        <v>779.65</v>
      </c>
      <c r="V95" s="66">
        <f t="shared" si="28"/>
        <v>1133.73</v>
      </c>
      <c r="W95" s="28">
        <f t="shared" si="28"/>
        <v>844.53</v>
      </c>
      <c r="X95" s="28">
        <f t="shared" si="28"/>
        <v>1064.47</v>
      </c>
      <c r="Y95" s="28">
        <f t="shared" si="28"/>
        <v>775.27</v>
      </c>
      <c r="Z95" s="28">
        <f t="shared" si="28"/>
        <v>1020</v>
      </c>
      <c r="AA95" s="28">
        <f t="shared" si="28"/>
        <v>730.80000000000007</v>
      </c>
      <c r="AB95" s="28">
        <f t="shared" si="28"/>
        <v>1095.1500000000001</v>
      </c>
      <c r="AC95" s="28">
        <f t="shared" si="28"/>
        <v>805.95</v>
      </c>
      <c r="AD95" s="28">
        <f t="shared" si="28"/>
        <v>1133.18</v>
      </c>
      <c r="AE95" s="28">
        <f t="shared" si="28"/>
        <v>843.98</v>
      </c>
      <c r="AF95" s="28">
        <f t="shared" si="28"/>
        <v>1000.02</v>
      </c>
      <c r="AG95" s="28">
        <f t="shared" si="28"/>
        <v>710.82</v>
      </c>
      <c r="AH95" s="28">
        <f t="shared" si="28"/>
        <v>942.7</v>
      </c>
      <c r="AI95" s="28">
        <f t="shared" si="28"/>
        <v>653.5</v>
      </c>
    </row>
    <row r="96" spans="1:35" s="2" customFormat="1" x14ac:dyDescent="0.2">
      <c r="A96" s="42" t="s">
        <v>108</v>
      </c>
      <c r="B96" s="49"/>
      <c r="C96" s="49"/>
      <c r="D96" s="67"/>
      <c r="E96" s="67"/>
      <c r="F96" s="67"/>
      <c r="G96" s="67"/>
      <c r="H96" s="66">
        <f>H118+H123</f>
        <v>1113.3700000000001</v>
      </c>
      <c r="I96" s="66">
        <f t="shared" ref="I96:P96" si="29">I118+I123</f>
        <v>895.72</v>
      </c>
      <c r="J96" s="66">
        <f t="shared" si="29"/>
        <v>1050.4100000000001</v>
      </c>
      <c r="K96" s="66">
        <f t="shared" si="29"/>
        <v>832.76</v>
      </c>
      <c r="L96" s="66">
        <f t="shared" si="29"/>
        <v>1009.98</v>
      </c>
      <c r="M96" s="66">
        <f t="shared" si="29"/>
        <v>792.32999999999993</v>
      </c>
      <c r="N96" s="66">
        <f t="shared" si="29"/>
        <v>1078.3</v>
      </c>
      <c r="O96" s="66">
        <f t="shared" si="29"/>
        <v>860.65</v>
      </c>
      <c r="P96" s="66">
        <f t="shared" si="29"/>
        <v>1112.8700000000001</v>
      </c>
      <c r="Q96" s="66">
        <f t="shared" ref="Q96:AI96" si="30">Q118+Q123</f>
        <v>895.22</v>
      </c>
      <c r="R96" s="66">
        <f t="shared" si="30"/>
        <v>991.81999999999994</v>
      </c>
      <c r="S96" s="66">
        <f t="shared" si="30"/>
        <v>774.17</v>
      </c>
      <c r="T96" s="66">
        <f t="shared" si="30"/>
        <v>997.3</v>
      </c>
      <c r="U96" s="66">
        <f t="shared" si="30"/>
        <v>779.65</v>
      </c>
      <c r="V96" s="66">
        <f t="shared" si="30"/>
        <v>1058.77</v>
      </c>
      <c r="W96" s="28">
        <f t="shared" si="30"/>
        <v>769.57</v>
      </c>
      <c r="X96" s="28">
        <f t="shared" si="30"/>
        <v>995.81</v>
      </c>
      <c r="Y96" s="28">
        <f t="shared" si="30"/>
        <v>706.61</v>
      </c>
      <c r="Z96" s="28">
        <f t="shared" si="30"/>
        <v>955.37999999999988</v>
      </c>
      <c r="AA96" s="28">
        <f t="shared" si="30"/>
        <v>666.18</v>
      </c>
      <c r="AB96" s="28">
        <f t="shared" si="30"/>
        <v>1023.7</v>
      </c>
      <c r="AC96" s="28">
        <f t="shared" si="30"/>
        <v>734.5</v>
      </c>
      <c r="AD96" s="28">
        <f t="shared" si="30"/>
        <v>1058.27</v>
      </c>
      <c r="AE96" s="28">
        <f t="shared" si="30"/>
        <v>769.07</v>
      </c>
      <c r="AF96" s="28">
        <f t="shared" si="30"/>
        <v>937.22</v>
      </c>
      <c r="AG96" s="28">
        <f t="shared" si="30"/>
        <v>648.02</v>
      </c>
      <c r="AH96" s="28">
        <f t="shared" si="30"/>
        <v>942.7</v>
      </c>
      <c r="AI96" s="28">
        <f t="shared" si="30"/>
        <v>653.5</v>
      </c>
    </row>
    <row r="97" spans="1:35" s="2" customFormat="1" x14ac:dyDescent="0.2">
      <c r="A97" s="42" t="s">
        <v>109</v>
      </c>
      <c r="B97" s="49"/>
      <c r="C97" s="49"/>
      <c r="D97" s="66">
        <f>SUM(D122:D123)</f>
        <v>727.6</v>
      </c>
      <c r="E97" s="66">
        <f t="shared" ref="E97:G97" si="31">SUM(E122:E123)</f>
        <v>292.3</v>
      </c>
      <c r="F97" s="66">
        <f t="shared" si="31"/>
        <v>618.4</v>
      </c>
      <c r="G97" s="66">
        <f t="shared" si="31"/>
        <v>40</v>
      </c>
      <c r="H97" s="66" t="s">
        <v>135</v>
      </c>
      <c r="I97" s="66" t="s">
        <v>135</v>
      </c>
      <c r="J97" s="66" t="s">
        <v>135</v>
      </c>
      <c r="K97" s="66" t="s">
        <v>135</v>
      </c>
      <c r="L97" s="66" t="s">
        <v>135</v>
      </c>
      <c r="M97" s="66" t="s">
        <v>135</v>
      </c>
      <c r="N97" s="66" t="s">
        <v>135</v>
      </c>
      <c r="O97" s="66" t="s">
        <v>135</v>
      </c>
      <c r="P97" s="66" t="s">
        <v>135</v>
      </c>
      <c r="Q97" s="66" t="s">
        <v>135</v>
      </c>
      <c r="R97" s="66" t="s">
        <v>135</v>
      </c>
      <c r="S97" s="66" t="s">
        <v>135</v>
      </c>
      <c r="T97" s="66" t="s">
        <v>135</v>
      </c>
      <c r="U97" s="66" t="s">
        <v>135</v>
      </c>
      <c r="V97" s="66" t="s">
        <v>135</v>
      </c>
      <c r="W97" s="28" t="s">
        <v>135</v>
      </c>
      <c r="X97" s="28" t="s">
        <v>135</v>
      </c>
      <c r="Y97" s="28" t="s">
        <v>135</v>
      </c>
      <c r="Z97" s="28" t="s">
        <v>135</v>
      </c>
      <c r="AA97" s="28" t="s">
        <v>135</v>
      </c>
      <c r="AB97" s="28" t="s">
        <v>135</v>
      </c>
      <c r="AC97" s="28" t="s">
        <v>135</v>
      </c>
      <c r="AD97" s="28" t="s">
        <v>135</v>
      </c>
      <c r="AE97" s="28" t="s">
        <v>135</v>
      </c>
      <c r="AF97" s="28" t="s">
        <v>135</v>
      </c>
      <c r="AG97" s="28" t="s">
        <v>135</v>
      </c>
      <c r="AH97" s="28" t="s">
        <v>135</v>
      </c>
      <c r="AI97" s="28" t="s">
        <v>135</v>
      </c>
    </row>
    <row r="98" spans="1:35" s="2" customFormat="1" ht="6" customHeight="1" x14ac:dyDescent="0.2">
      <c r="A98" s="49"/>
      <c r="B98" s="49"/>
      <c r="C98" s="49"/>
      <c r="D98" s="66"/>
      <c r="E98" s="66"/>
      <c r="F98" s="66" t="s">
        <v>135</v>
      </c>
      <c r="G98" s="66" t="s">
        <v>135</v>
      </c>
      <c r="H98" s="66" t="s">
        <v>135</v>
      </c>
      <c r="I98" s="66" t="s">
        <v>135</v>
      </c>
      <c r="J98" s="66" t="s">
        <v>135</v>
      </c>
      <c r="K98" s="66" t="s">
        <v>135</v>
      </c>
      <c r="L98" s="66" t="s">
        <v>135</v>
      </c>
      <c r="M98" s="66" t="s">
        <v>135</v>
      </c>
      <c r="N98" s="66" t="s">
        <v>135</v>
      </c>
      <c r="O98" s="66" t="s">
        <v>135</v>
      </c>
      <c r="P98" s="66" t="s">
        <v>135</v>
      </c>
      <c r="Q98" s="66" t="s">
        <v>135</v>
      </c>
      <c r="R98" s="66" t="s">
        <v>135</v>
      </c>
      <c r="S98" s="66" t="s">
        <v>135</v>
      </c>
      <c r="T98" s="66" t="s">
        <v>135</v>
      </c>
      <c r="U98" s="66" t="s">
        <v>135</v>
      </c>
      <c r="V98" s="66" t="s">
        <v>135</v>
      </c>
      <c r="W98" s="28" t="s">
        <v>135</v>
      </c>
      <c r="X98" s="28" t="s">
        <v>135</v>
      </c>
      <c r="Y98" s="28" t="s">
        <v>135</v>
      </c>
      <c r="Z98" s="28" t="s">
        <v>135</v>
      </c>
      <c r="AA98" s="28" t="s">
        <v>135</v>
      </c>
      <c r="AB98" s="28" t="s">
        <v>135</v>
      </c>
      <c r="AC98" s="28" t="s">
        <v>135</v>
      </c>
      <c r="AD98" s="28" t="s">
        <v>135</v>
      </c>
      <c r="AE98" s="28" t="s">
        <v>135</v>
      </c>
      <c r="AF98" s="28" t="s">
        <v>135</v>
      </c>
      <c r="AG98" s="28" t="s">
        <v>135</v>
      </c>
      <c r="AH98" s="28" t="s">
        <v>135</v>
      </c>
      <c r="AI98" s="28" t="s">
        <v>135</v>
      </c>
    </row>
    <row r="99" spans="1:35" s="2" customFormat="1" x14ac:dyDescent="0.2">
      <c r="A99" s="48" t="s">
        <v>101</v>
      </c>
      <c r="B99" s="48"/>
      <c r="C99" s="48"/>
      <c r="D99" s="66"/>
      <c r="E99" s="66"/>
      <c r="F99" s="66" t="s">
        <v>135</v>
      </c>
      <c r="G99" s="66" t="s">
        <v>135</v>
      </c>
      <c r="H99" s="66" t="s">
        <v>135</v>
      </c>
      <c r="I99" s="66" t="s">
        <v>135</v>
      </c>
      <c r="J99" s="66" t="s">
        <v>135</v>
      </c>
      <c r="K99" s="66" t="s">
        <v>135</v>
      </c>
      <c r="L99" s="66" t="s">
        <v>135</v>
      </c>
      <c r="M99" s="66" t="s">
        <v>135</v>
      </c>
      <c r="N99" s="66" t="s">
        <v>135</v>
      </c>
      <c r="O99" s="66" t="s">
        <v>135</v>
      </c>
      <c r="P99" s="66" t="s">
        <v>135</v>
      </c>
      <c r="Q99" s="66" t="s">
        <v>135</v>
      </c>
      <c r="R99" s="66" t="s">
        <v>135</v>
      </c>
      <c r="S99" s="66" t="s">
        <v>135</v>
      </c>
      <c r="T99" s="66" t="s">
        <v>135</v>
      </c>
      <c r="U99" s="66" t="s">
        <v>135</v>
      </c>
      <c r="V99" s="66" t="s">
        <v>135</v>
      </c>
      <c r="W99" s="28" t="s">
        <v>135</v>
      </c>
      <c r="X99" s="28" t="s">
        <v>135</v>
      </c>
      <c r="Y99" s="28" t="s">
        <v>135</v>
      </c>
      <c r="Z99" s="28" t="s">
        <v>135</v>
      </c>
      <c r="AA99" s="28" t="s">
        <v>135</v>
      </c>
      <c r="AB99" s="28" t="s">
        <v>135</v>
      </c>
      <c r="AC99" s="28" t="s">
        <v>135</v>
      </c>
      <c r="AD99" s="28" t="s">
        <v>135</v>
      </c>
      <c r="AE99" s="28" t="s">
        <v>135</v>
      </c>
      <c r="AF99" s="28" t="s">
        <v>135</v>
      </c>
      <c r="AG99" s="28" t="s">
        <v>135</v>
      </c>
      <c r="AH99" s="28" t="s">
        <v>135</v>
      </c>
      <c r="AI99" s="28" t="s">
        <v>135</v>
      </c>
    </row>
    <row r="100" spans="1:35" s="2" customFormat="1" x14ac:dyDescent="0.2">
      <c r="A100" s="42" t="s">
        <v>110</v>
      </c>
      <c r="B100" s="49"/>
      <c r="C100" s="49"/>
      <c r="D100" s="66"/>
      <c r="E100" s="66"/>
      <c r="F100" s="66" t="s">
        <v>135</v>
      </c>
      <c r="G100" s="66" t="s">
        <v>135</v>
      </c>
      <c r="H100" s="66">
        <f>H122+H121</f>
        <v>888.5</v>
      </c>
      <c r="I100" s="66">
        <f t="shared" ref="I100:P100" si="32">I122+I121</f>
        <v>670.85</v>
      </c>
      <c r="J100" s="66">
        <f t="shared" si="32"/>
        <v>844.43000000000006</v>
      </c>
      <c r="K100" s="66">
        <f t="shared" si="32"/>
        <v>626.78</v>
      </c>
      <c r="L100" s="66">
        <f t="shared" si="32"/>
        <v>816.13000000000011</v>
      </c>
      <c r="M100" s="66">
        <f t="shared" si="32"/>
        <v>598.48</v>
      </c>
      <c r="N100" s="66">
        <f t="shared" si="32"/>
        <v>863.95</v>
      </c>
      <c r="O100" s="66">
        <f t="shared" si="32"/>
        <v>646.29999999999995</v>
      </c>
      <c r="P100" s="66">
        <f t="shared" si="32"/>
        <v>888.15000000000009</v>
      </c>
      <c r="Q100" s="66">
        <f t="shared" ref="Q100:AI100" si="33">Q122+Q121</f>
        <v>670.5</v>
      </c>
      <c r="R100" s="66">
        <f t="shared" si="33"/>
        <v>803.41000000000008</v>
      </c>
      <c r="S100" s="66">
        <f t="shared" si="33"/>
        <v>585.76</v>
      </c>
      <c r="T100" s="66">
        <f t="shared" si="33"/>
        <v>807.25</v>
      </c>
      <c r="U100" s="66">
        <f t="shared" si="33"/>
        <v>589.6</v>
      </c>
      <c r="V100" s="66">
        <f t="shared" si="33"/>
        <v>833.90000000000009</v>
      </c>
      <c r="W100" s="28">
        <f t="shared" si="33"/>
        <v>544.70000000000005</v>
      </c>
      <c r="X100" s="28">
        <f t="shared" si="33"/>
        <v>789.82999999999993</v>
      </c>
      <c r="Y100" s="28">
        <f t="shared" si="33"/>
        <v>500.63</v>
      </c>
      <c r="Z100" s="28">
        <f t="shared" si="33"/>
        <v>761.53</v>
      </c>
      <c r="AA100" s="28">
        <f t="shared" si="33"/>
        <v>472.33000000000004</v>
      </c>
      <c r="AB100" s="28">
        <f t="shared" si="33"/>
        <v>809.34999999999991</v>
      </c>
      <c r="AC100" s="28">
        <f t="shared" si="33"/>
        <v>520.15</v>
      </c>
      <c r="AD100" s="28">
        <f t="shared" si="33"/>
        <v>833.55</v>
      </c>
      <c r="AE100" s="28">
        <f t="shared" si="33"/>
        <v>544.35</v>
      </c>
      <c r="AF100" s="28">
        <f t="shared" si="33"/>
        <v>748.81</v>
      </c>
      <c r="AG100" s="28">
        <f t="shared" si="33"/>
        <v>459.61</v>
      </c>
      <c r="AH100" s="28">
        <f t="shared" si="33"/>
        <v>752.65000000000009</v>
      </c>
      <c r="AI100" s="28">
        <f t="shared" si="33"/>
        <v>463.45000000000005</v>
      </c>
    </row>
    <row r="101" spans="1:35" s="2" customFormat="1" ht="6" customHeight="1" x14ac:dyDescent="0.2">
      <c r="A101" s="49"/>
      <c r="B101" s="49"/>
      <c r="C101" s="49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s="2" customFormat="1" x14ac:dyDescent="0.2">
      <c r="A102" s="48" t="s">
        <v>100</v>
      </c>
      <c r="B102" s="48"/>
      <c r="C102" s="48"/>
      <c r="D102" s="66"/>
      <c r="E102" s="66"/>
      <c r="F102" s="66" t="s">
        <v>135</v>
      </c>
      <c r="G102" s="66" t="s">
        <v>135</v>
      </c>
      <c r="H102" s="66" t="s">
        <v>135</v>
      </c>
      <c r="I102" s="66" t="s">
        <v>135</v>
      </c>
      <c r="J102" s="66" t="s">
        <v>135</v>
      </c>
      <c r="K102" s="66" t="s">
        <v>135</v>
      </c>
      <c r="L102" s="66" t="s">
        <v>135</v>
      </c>
      <c r="M102" s="66" t="s">
        <v>135</v>
      </c>
      <c r="N102" s="66" t="s">
        <v>135</v>
      </c>
      <c r="O102" s="66" t="s">
        <v>135</v>
      </c>
      <c r="P102" s="66" t="s">
        <v>135</v>
      </c>
      <c r="Q102" s="66" t="s">
        <v>135</v>
      </c>
      <c r="R102" s="66" t="s">
        <v>135</v>
      </c>
      <c r="S102" s="66" t="s">
        <v>135</v>
      </c>
      <c r="T102" s="66" t="s">
        <v>135</v>
      </c>
      <c r="U102" s="66" t="s">
        <v>135</v>
      </c>
      <c r="V102" s="66" t="s">
        <v>135</v>
      </c>
      <c r="W102" s="28" t="s">
        <v>135</v>
      </c>
      <c r="X102" s="28" t="s">
        <v>135</v>
      </c>
      <c r="Y102" s="28" t="s">
        <v>135</v>
      </c>
      <c r="Z102" s="28" t="s">
        <v>135</v>
      </c>
      <c r="AA102" s="28" t="s">
        <v>135</v>
      </c>
      <c r="AB102" s="28" t="s">
        <v>135</v>
      </c>
      <c r="AC102" s="28" t="s">
        <v>135</v>
      </c>
      <c r="AD102" s="28" t="s">
        <v>135</v>
      </c>
      <c r="AE102" s="28" t="s">
        <v>135</v>
      </c>
      <c r="AF102" s="28" t="s">
        <v>135</v>
      </c>
      <c r="AG102" s="28" t="s">
        <v>135</v>
      </c>
      <c r="AH102" s="28" t="s">
        <v>135</v>
      </c>
      <c r="AI102" s="28" t="s">
        <v>135</v>
      </c>
    </row>
    <row r="103" spans="1:35" s="2" customFormat="1" x14ac:dyDescent="0.2">
      <c r="A103" s="42" t="s">
        <v>111</v>
      </c>
      <c r="B103" s="49"/>
      <c r="C103" s="49"/>
      <c r="D103" s="66"/>
      <c r="E103" s="66"/>
      <c r="F103" s="66" t="s">
        <v>135</v>
      </c>
      <c r="G103" s="66" t="s">
        <v>135</v>
      </c>
      <c r="H103" s="66">
        <f>H118+H123</f>
        <v>1113.3700000000001</v>
      </c>
      <c r="I103" s="66">
        <f t="shared" ref="I103:P103" si="34">I118+I123</f>
        <v>895.72</v>
      </c>
      <c r="J103" s="66">
        <f t="shared" si="34"/>
        <v>1050.4100000000001</v>
      </c>
      <c r="K103" s="66">
        <f t="shared" si="34"/>
        <v>832.76</v>
      </c>
      <c r="L103" s="66">
        <f t="shared" si="34"/>
        <v>1009.98</v>
      </c>
      <c r="M103" s="66">
        <f t="shared" si="34"/>
        <v>792.32999999999993</v>
      </c>
      <c r="N103" s="66">
        <f t="shared" si="34"/>
        <v>1078.3</v>
      </c>
      <c r="O103" s="66">
        <f t="shared" si="34"/>
        <v>860.65</v>
      </c>
      <c r="P103" s="66">
        <f t="shared" si="34"/>
        <v>1112.8700000000001</v>
      </c>
      <c r="Q103" s="66">
        <f t="shared" ref="Q103:AI103" si="35">Q118+Q123</f>
        <v>895.22</v>
      </c>
      <c r="R103" s="66">
        <f t="shared" si="35"/>
        <v>991.81999999999994</v>
      </c>
      <c r="S103" s="66">
        <f t="shared" si="35"/>
        <v>774.17</v>
      </c>
      <c r="T103" s="66">
        <f t="shared" si="35"/>
        <v>997.3</v>
      </c>
      <c r="U103" s="66">
        <f t="shared" si="35"/>
        <v>779.65</v>
      </c>
      <c r="V103" s="66">
        <f t="shared" si="35"/>
        <v>1058.77</v>
      </c>
      <c r="W103" s="28">
        <f t="shared" si="35"/>
        <v>769.57</v>
      </c>
      <c r="X103" s="28">
        <f t="shared" si="35"/>
        <v>995.81</v>
      </c>
      <c r="Y103" s="28">
        <f t="shared" si="35"/>
        <v>706.61</v>
      </c>
      <c r="Z103" s="28">
        <f t="shared" si="35"/>
        <v>955.37999999999988</v>
      </c>
      <c r="AA103" s="28">
        <f t="shared" si="35"/>
        <v>666.18</v>
      </c>
      <c r="AB103" s="28">
        <f t="shared" si="35"/>
        <v>1023.7</v>
      </c>
      <c r="AC103" s="28">
        <f t="shared" si="35"/>
        <v>734.5</v>
      </c>
      <c r="AD103" s="28">
        <f t="shared" si="35"/>
        <v>1058.27</v>
      </c>
      <c r="AE103" s="28">
        <f t="shared" si="35"/>
        <v>769.07</v>
      </c>
      <c r="AF103" s="28">
        <f t="shared" si="35"/>
        <v>937.22</v>
      </c>
      <c r="AG103" s="28">
        <f t="shared" si="35"/>
        <v>648.02</v>
      </c>
      <c r="AH103" s="28">
        <f t="shared" si="35"/>
        <v>942.7</v>
      </c>
      <c r="AI103" s="28">
        <f t="shared" si="35"/>
        <v>653.5</v>
      </c>
    </row>
    <row r="104" spans="1:35" s="2" customFormat="1" x14ac:dyDescent="0.2">
      <c r="A104" s="42" t="s">
        <v>112</v>
      </c>
      <c r="B104" s="49"/>
      <c r="C104" s="49"/>
      <c r="D104" s="66">
        <f>D97</f>
        <v>727.6</v>
      </c>
      <c r="E104" s="66">
        <f t="shared" ref="E104:G104" si="36">E97</f>
        <v>292.3</v>
      </c>
      <c r="F104" s="66">
        <f t="shared" si="36"/>
        <v>618.4</v>
      </c>
      <c r="G104" s="66">
        <f t="shared" si="36"/>
        <v>40</v>
      </c>
      <c r="H104" s="66" t="s">
        <v>135</v>
      </c>
      <c r="I104" s="66" t="s">
        <v>135</v>
      </c>
      <c r="J104" s="66" t="s">
        <v>135</v>
      </c>
      <c r="K104" s="66" t="s">
        <v>135</v>
      </c>
      <c r="L104" s="66" t="s">
        <v>135</v>
      </c>
      <c r="M104" s="66" t="s">
        <v>135</v>
      </c>
      <c r="N104" s="66" t="s">
        <v>135</v>
      </c>
      <c r="O104" s="66" t="s">
        <v>135</v>
      </c>
      <c r="P104" s="66" t="s">
        <v>135</v>
      </c>
      <c r="Q104" s="66" t="s">
        <v>135</v>
      </c>
      <c r="R104" s="66" t="s">
        <v>135</v>
      </c>
      <c r="S104" s="66" t="s">
        <v>135</v>
      </c>
      <c r="T104" s="66" t="s">
        <v>135</v>
      </c>
      <c r="U104" s="66" t="s">
        <v>135</v>
      </c>
      <c r="V104" s="66" t="s">
        <v>135</v>
      </c>
      <c r="W104" s="28" t="s">
        <v>135</v>
      </c>
      <c r="X104" s="28" t="s">
        <v>135</v>
      </c>
      <c r="Y104" s="28" t="s">
        <v>135</v>
      </c>
      <c r="Z104" s="28" t="s">
        <v>135</v>
      </c>
      <c r="AA104" s="28" t="s">
        <v>135</v>
      </c>
      <c r="AB104" s="28" t="s">
        <v>135</v>
      </c>
      <c r="AC104" s="28" t="s">
        <v>135</v>
      </c>
      <c r="AD104" s="28" t="s">
        <v>135</v>
      </c>
      <c r="AE104" s="28" t="s">
        <v>135</v>
      </c>
      <c r="AF104" s="28" t="s">
        <v>135</v>
      </c>
      <c r="AG104" s="28" t="s">
        <v>135</v>
      </c>
      <c r="AH104" s="28" t="s">
        <v>135</v>
      </c>
      <c r="AI104" s="28" t="s">
        <v>135</v>
      </c>
    </row>
    <row r="105" spans="1:35" s="2" customFormat="1" ht="6" customHeight="1" x14ac:dyDescent="0.2">
      <c r="A105" s="49"/>
      <c r="B105" s="49"/>
      <c r="C105" s="49"/>
      <c r="D105" s="66"/>
      <c r="E105" s="66"/>
      <c r="F105" s="66" t="s">
        <v>135</v>
      </c>
      <c r="G105" s="66" t="s">
        <v>135</v>
      </c>
      <c r="H105" s="66" t="s">
        <v>135</v>
      </c>
      <c r="I105" s="66" t="s">
        <v>135</v>
      </c>
      <c r="J105" s="66" t="s">
        <v>135</v>
      </c>
      <c r="K105" s="66" t="s">
        <v>135</v>
      </c>
      <c r="L105" s="66" t="s">
        <v>135</v>
      </c>
      <c r="M105" s="66" t="s">
        <v>135</v>
      </c>
      <c r="N105" s="66" t="s">
        <v>135</v>
      </c>
      <c r="O105" s="66" t="s">
        <v>135</v>
      </c>
      <c r="P105" s="66" t="s">
        <v>135</v>
      </c>
      <c r="Q105" s="66" t="s">
        <v>135</v>
      </c>
      <c r="R105" s="66" t="s">
        <v>135</v>
      </c>
      <c r="S105" s="66" t="s">
        <v>135</v>
      </c>
      <c r="T105" s="66" t="s">
        <v>135</v>
      </c>
      <c r="U105" s="66" t="s">
        <v>135</v>
      </c>
      <c r="V105" s="66" t="s">
        <v>135</v>
      </c>
      <c r="W105" s="28" t="s">
        <v>135</v>
      </c>
      <c r="X105" s="28" t="s">
        <v>135</v>
      </c>
      <c r="Y105" s="28" t="s">
        <v>135</v>
      </c>
      <c r="Z105" s="28" t="s">
        <v>135</v>
      </c>
      <c r="AA105" s="28" t="s">
        <v>135</v>
      </c>
      <c r="AB105" s="28" t="s">
        <v>135</v>
      </c>
      <c r="AC105" s="28" t="s">
        <v>135</v>
      </c>
      <c r="AD105" s="28" t="s">
        <v>135</v>
      </c>
      <c r="AE105" s="28" t="s">
        <v>135</v>
      </c>
      <c r="AF105" s="28" t="s">
        <v>135</v>
      </c>
      <c r="AG105" s="28" t="s">
        <v>135</v>
      </c>
      <c r="AH105" s="28" t="s">
        <v>135</v>
      </c>
      <c r="AI105" s="28" t="s">
        <v>135</v>
      </c>
    </row>
    <row r="106" spans="1:35" s="2" customFormat="1" x14ac:dyDescent="0.2">
      <c r="A106" s="48" t="s">
        <v>103</v>
      </c>
      <c r="B106" s="48"/>
      <c r="C106" s="48"/>
      <c r="D106" s="66"/>
      <c r="E106" s="66"/>
      <c r="F106" s="66" t="s">
        <v>135</v>
      </c>
      <c r="G106" s="66" t="s">
        <v>135</v>
      </c>
      <c r="H106" s="66" t="s">
        <v>135</v>
      </c>
      <c r="I106" s="66" t="s">
        <v>135</v>
      </c>
      <c r="J106" s="66" t="s">
        <v>135</v>
      </c>
      <c r="K106" s="66" t="s">
        <v>135</v>
      </c>
      <c r="L106" s="66" t="s">
        <v>135</v>
      </c>
      <c r="M106" s="66" t="s">
        <v>135</v>
      </c>
      <c r="N106" s="66" t="s">
        <v>135</v>
      </c>
      <c r="O106" s="66" t="s">
        <v>135</v>
      </c>
      <c r="P106" s="66" t="s">
        <v>135</v>
      </c>
      <c r="Q106" s="66" t="s">
        <v>135</v>
      </c>
      <c r="R106" s="66" t="s">
        <v>135</v>
      </c>
      <c r="S106" s="66" t="s">
        <v>135</v>
      </c>
      <c r="T106" s="66" t="s">
        <v>135</v>
      </c>
      <c r="U106" s="66" t="s">
        <v>135</v>
      </c>
      <c r="V106" s="66" t="s">
        <v>135</v>
      </c>
      <c r="W106" s="28" t="s">
        <v>135</v>
      </c>
      <c r="X106" s="28" t="s">
        <v>135</v>
      </c>
      <c r="Y106" s="28" t="s">
        <v>135</v>
      </c>
      <c r="Z106" s="28" t="s">
        <v>135</v>
      </c>
      <c r="AA106" s="28" t="s">
        <v>135</v>
      </c>
      <c r="AB106" s="28" t="s">
        <v>135</v>
      </c>
      <c r="AC106" s="28" t="s">
        <v>135</v>
      </c>
      <c r="AD106" s="28" t="s">
        <v>135</v>
      </c>
      <c r="AE106" s="28" t="s">
        <v>135</v>
      </c>
      <c r="AF106" s="28" t="s">
        <v>135</v>
      </c>
      <c r="AG106" s="28" t="s">
        <v>135</v>
      </c>
      <c r="AH106" s="28" t="s">
        <v>135</v>
      </c>
      <c r="AI106" s="28" t="s">
        <v>135</v>
      </c>
    </row>
    <row r="107" spans="1:35" s="2" customFormat="1" x14ac:dyDescent="0.2">
      <c r="A107" s="42" t="s">
        <v>113</v>
      </c>
      <c r="B107" s="49"/>
      <c r="C107" s="49"/>
      <c r="D107" s="66"/>
      <c r="E107" s="66"/>
      <c r="F107" s="66" t="s">
        <v>135</v>
      </c>
      <c r="G107" s="66" t="s">
        <v>135</v>
      </c>
      <c r="H107" s="66">
        <f>SUM(H119,H121:H122)</f>
        <v>1713.03</v>
      </c>
      <c r="I107" s="66">
        <f t="shared" ref="I107:AI107" si="37">SUM(I119,I121:I122)</f>
        <v>1495.38</v>
      </c>
      <c r="J107" s="66">
        <f t="shared" si="37"/>
        <v>1599.7</v>
      </c>
      <c r="K107" s="66">
        <f t="shared" si="37"/>
        <v>1382.0500000000002</v>
      </c>
      <c r="L107" s="66">
        <f t="shared" si="37"/>
        <v>1526.93</v>
      </c>
      <c r="M107" s="66">
        <f t="shared" si="37"/>
        <v>1309.2800000000002</v>
      </c>
      <c r="N107" s="66">
        <f t="shared" si="37"/>
        <v>1649.8999999999999</v>
      </c>
      <c r="O107" s="66">
        <f t="shared" si="37"/>
        <v>1432.25</v>
      </c>
      <c r="P107" s="66">
        <f t="shared" si="37"/>
        <v>1712.1299999999999</v>
      </c>
      <c r="Q107" s="66">
        <f t="shared" si="37"/>
        <v>1494.48</v>
      </c>
      <c r="R107" s="66">
        <f t="shared" si="37"/>
        <v>1494.23</v>
      </c>
      <c r="S107" s="66">
        <f t="shared" si="37"/>
        <v>1276.5800000000002</v>
      </c>
      <c r="T107" s="66">
        <f t="shared" si="37"/>
        <v>1440.75</v>
      </c>
      <c r="U107" s="66">
        <f t="shared" si="37"/>
        <v>1223.1000000000001</v>
      </c>
      <c r="V107" s="66">
        <f t="shared" si="37"/>
        <v>1658.43</v>
      </c>
      <c r="W107" s="28">
        <f t="shared" si="37"/>
        <v>1369.23</v>
      </c>
      <c r="X107" s="28">
        <f t="shared" si="37"/>
        <v>1545.1000000000001</v>
      </c>
      <c r="Y107" s="28">
        <f t="shared" si="37"/>
        <v>1255.9000000000001</v>
      </c>
      <c r="Z107" s="28">
        <f t="shared" si="37"/>
        <v>1472.3300000000002</v>
      </c>
      <c r="AA107" s="28">
        <f t="shared" si="37"/>
        <v>1183.1300000000001</v>
      </c>
      <c r="AB107" s="28">
        <f t="shared" si="37"/>
        <v>1595.3</v>
      </c>
      <c r="AC107" s="28">
        <f t="shared" si="37"/>
        <v>1306.0999999999999</v>
      </c>
      <c r="AD107" s="28">
        <f t="shared" si="37"/>
        <v>1657.53</v>
      </c>
      <c r="AE107" s="28">
        <f t="shared" si="37"/>
        <v>1368.33</v>
      </c>
      <c r="AF107" s="28">
        <f t="shared" si="37"/>
        <v>1439.63</v>
      </c>
      <c r="AG107" s="28">
        <f t="shared" si="37"/>
        <v>1150.43</v>
      </c>
      <c r="AH107" s="28">
        <f t="shared" si="37"/>
        <v>1386.15</v>
      </c>
      <c r="AI107" s="28">
        <f t="shared" si="37"/>
        <v>1096.95</v>
      </c>
    </row>
    <row r="108" spans="1:35" s="2" customFormat="1" x14ac:dyDescent="0.2">
      <c r="A108" s="42" t="s">
        <v>114</v>
      </c>
      <c r="B108" s="49"/>
      <c r="C108" s="49"/>
      <c r="D108" s="66"/>
      <c r="E108" s="66"/>
      <c r="F108" s="66"/>
      <c r="G108" s="66"/>
      <c r="H108" s="66">
        <f>H118+H121+H123</f>
        <v>1638.07</v>
      </c>
      <c r="I108" s="66">
        <f t="shared" ref="I108:P108" si="38">I118+I121+I123</f>
        <v>1420.42</v>
      </c>
      <c r="J108" s="66">
        <f t="shared" si="38"/>
        <v>1531.04</v>
      </c>
      <c r="K108" s="66">
        <f t="shared" si="38"/>
        <v>1313.39</v>
      </c>
      <c r="L108" s="66">
        <f t="shared" si="38"/>
        <v>1462.31</v>
      </c>
      <c r="M108" s="66">
        <f t="shared" si="38"/>
        <v>1244.6600000000001</v>
      </c>
      <c r="N108" s="66">
        <f t="shared" si="38"/>
        <v>1578.45</v>
      </c>
      <c r="O108" s="66">
        <f t="shared" si="38"/>
        <v>1360.8000000000002</v>
      </c>
      <c r="P108" s="66">
        <f t="shared" si="38"/>
        <v>1637.22</v>
      </c>
      <c r="Q108" s="66">
        <f t="shared" ref="Q108:AI108" si="39">Q118+Q121+Q123</f>
        <v>1419.5700000000002</v>
      </c>
      <c r="R108" s="66">
        <f t="shared" si="39"/>
        <v>1431.43</v>
      </c>
      <c r="S108" s="66">
        <f t="shared" si="39"/>
        <v>1213.7800000000002</v>
      </c>
      <c r="T108" s="66">
        <f t="shared" si="39"/>
        <v>1440.75</v>
      </c>
      <c r="U108" s="66">
        <f t="shared" si="39"/>
        <v>1223.1000000000001</v>
      </c>
      <c r="V108" s="66">
        <f t="shared" si="39"/>
        <v>1583.47</v>
      </c>
      <c r="W108" s="28">
        <f t="shared" si="39"/>
        <v>1294.27</v>
      </c>
      <c r="X108" s="28">
        <f t="shared" si="39"/>
        <v>1476.44</v>
      </c>
      <c r="Y108" s="28">
        <f t="shared" si="39"/>
        <v>1187.24</v>
      </c>
      <c r="Z108" s="28">
        <f t="shared" si="39"/>
        <v>1407.71</v>
      </c>
      <c r="AA108" s="28">
        <f t="shared" si="39"/>
        <v>1118.51</v>
      </c>
      <c r="AB108" s="28">
        <f t="shared" si="39"/>
        <v>1523.8500000000001</v>
      </c>
      <c r="AC108" s="28">
        <f t="shared" si="39"/>
        <v>1234.6500000000001</v>
      </c>
      <c r="AD108" s="28">
        <f t="shared" si="39"/>
        <v>1582.6200000000001</v>
      </c>
      <c r="AE108" s="28">
        <f t="shared" si="39"/>
        <v>1293.42</v>
      </c>
      <c r="AF108" s="28">
        <f t="shared" si="39"/>
        <v>1376.8300000000002</v>
      </c>
      <c r="AG108" s="28">
        <f t="shared" si="39"/>
        <v>1087.6300000000001</v>
      </c>
      <c r="AH108" s="28">
        <f t="shared" si="39"/>
        <v>1386.15</v>
      </c>
      <c r="AI108" s="28">
        <f t="shared" si="39"/>
        <v>1096.95</v>
      </c>
    </row>
    <row r="109" spans="1:35" s="2" customFormat="1" x14ac:dyDescent="0.2">
      <c r="A109" s="42" t="s">
        <v>115</v>
      </c>
      <c r="B109" s="49"/>
      <c r="C109" s="49"/>
      <c r="D109" s="66"/>
      <c r="E109" s="66"/>
      <c r="F109" s="66" t="s">
        <v>135</v>
      </c>
      <c r="G109" s="66" t="s">
        <v>135</v>
      </c>
      <c r="H109" s="66">
        <f>SUM(H121:H123)</f>
        <v>1252.3</v>
      </c>
      <c r="I109" s="66">
        <f t="shared" ref="I109:P109" si="40">SUM(I121:I123)</f>
        <v>817</v>
      </c>
      <c r="J109" s="66">
        <f t="shared" si="40"/>
        <v>1208.23</v>
      </c>
      <c r="K109" s="66">
        <f t="shared" si="40"/>
        <v>772.93</v>
      </c>
      <c r="L109" s="66">
        <f t="shared" si="40"/>
        <v>1179.93</v>
      </c>
      <c r="M109" s="66">
        <f t="shared" si="40"/>
        <v>744.63</v>
      </c>
      <c r="N109" s="66">
        <f t="shared" si="40"/>
        <v>1227.75</v>
      </c>
      <c r="O109" s="66">
        <f t="shared" si="40"/>
        <v>792.44999999999993</v>
      </c>
      <c r="P109" s="66">
        <f t="shared" si="40"/>
        <v>1251.95</v>
      </c>
      <c r="Q109" s="66">
        <f t="shared" ref="Q109:AI109" si="41">SUM(Q121:Q123)</f>
        <v>816.65</v>
      </c>
      <c r="R109" s="66">
        <f t="shared" si="41"/>
        <v>1167.21</v>
      </c>
      <c r="S109" s="66">
        <f t="shared" si="41"/>
        <v>731.91</v>
      </c>
      <c r="T109" s="66">
        <f t="shared" si="41"/>
        <v>1171.05</v>
      </c>
      <c r="U109" s="66">
        <f t="shared" si="41"/>
        <v>735.75</v>
      </c>
      <c r="V109" s="66">
        <f t="shared" si="41"/>
        <v>1143.1000000000001</v>
      </c>
      <c r="W109" s="28">
        <f t="shared" si="41"/>
        <v>564.70000000000005</v>
      </c>
      <c r="X109" s="28">
        <f t="shared" si="41"/>
        <v>1099.03</v>
      </c>
      <c r="Y109" s="28">
        <f t="shared" si="41"/>
        <v>520.63</v>
      </c>
      <c r="Z109" s="28">
        <f t="shared" si="41"/>
        <v>1070.73</v>
      </c>
      <c r="AA109" s="28">
        <f t="shared" si="41"/>
        <v>492.33000000000004</v>
      </c>
      <c r="AB109" s="28">
        <f t="shared" si="41"/>
        <v>1118.55</v>
      </c>
      <c r="AC109" s="28">
        <f t="shared" si="41"/>
        <v>540.15</v>
      </c>
      <c r="AD109" s="28">
        <f t="shared" si="41"/>
        <v>1142.75</v>
      </c>
      <c r="AE109" s="28">
        <f t="shared" si="41"/>
        <v>564.35</v>
      </c>
      <c r="AF109" s="28">
        <f t="shared" si="41"/>
        <v>1058.01</v>
      </c>
      <c r="AG109" s="28">
        <f t="shared" si="41"/>
        <v>479.61</v>
      </c>
      <c r="AH109" s="28">
        <f t="shared" si="41"/>
        <v>1061.8500000000001</v>
      </c>
      <c r="AI109" s="28">
        <f t="shared" si="41"/>
        <v>483.45000000000005</v>
      </c>
    </row>
    <row r="110" spans="1:35" s="2" customFormat="1" ht="6" customHeight="1" x14ac:dyDescent="0.2">
      <c r="A110" s="49"/>
      <c r="B110" s="49"/>
      <c r="C110" s="49"/>
      <c r="D110" s="66"/>
      <c r="E110" s="66"/>
      <c r="F110" s="66" t="s">
        <v>135</v>
      </c>
      <c r="G110" s="66" t="s">
        <v>135</v>
      </c>
      <c r="H110" s="66" t="s">
        <v>135</v>
      </c>
      <c r="I110" s="66" t="s">
        <v>135</v>
      </c>
      <c r="J110" s="66" t="s">
        <v>135</v>
      </c>
      <c r="K110" s="66" t="s">
        <v>135</v>
      </c>
      <c r="L110" s="66" t="s">
        <v>135</v>
      </c>
      <c r="M110" s="66" t="s">
        <v>135</v>
      </c>
      <c r="N110" s="66" t="s">
        <v>135</v>
      </c>
      <c r="O110" s="66" t="s">
        <v>135</v>
      </c>
      <c r="P110" s="66" t="s">
        <v>135</v>
      </c>
      <c r="Q110" s="66" t="s">
        <v>135</v>
      </c>
      <c r="R110" s="66" t="s">
        <v>135</v>
      </c>
      <c r="S110" s="66" t="s">
        <v>135</v>
      </c>
      <c r="T110" s="66" t="s">
        <v>135</v>
      </c>
      <c r="U110" s="66" t="s">
        <v>135</v>
      </c>
      <c r="V110" s="66" t="s">
        <v>135</v>
      </c>
      <c r="W110" s="28" t="s">
        <v>135</v>
      </c>
      <c r="X110" s="28" t="s">
        <v>135</v>
      </c>
      <c r="Y110" s="28" t="s">
        <v>135</v>
      </c>
      <c r="Z110" s="28" t="s">
        <v>135</v>
      </c>
      <c r="AA110" s="28" t="s">
        <v>135</v>
      </c>
      <c r="AB110" s="28" t="s">
        <v>135</v>
      </c>
      <c r="AC110" s="28" t="s">
        <v>135</v>
      </c>
      <c r="AD110" s="28" t="s">
        <v>135</v>
      </c>
      <c r="AE110" s="28" t="s">
        <v>135</v>
      </c>
      <c r="AF110" s="28" t="s">
        <v>135</v>
      </c>
      <c r="AG110" s="28" t="s">
        <v>135</v>
      </c>
      <c r="AH110" s="28" t="s">
        <v>135</v>
      </c>
      <c r="AI110" s="28" t="s">
        <v>135</v>
      </c>
    </row>
    <row r="111" spans="1:35" s="2" customFormat="1" x14ac:dyDescent="0.2">
      <c r="A111" s="48" t="s">
        <v>102</v>
      </c>
      <c r="B111" s="48"/>
      <c r="C111" s="48"/>
      <c r="D111" s="66"/>
      <c r="E111" s="66"/>
      <c r="F111" s="66" t="s">
        <v>135</v>
      </c>
      <c r="G111" s="66" t="s">
        <v>135</v>
      </c>
      <c r="H111" s="66" t="s">
        <v>135</v>
      </c>
      <c r="I111" s="66" t="s">
        <v>135</v>
      </c>
      <c r="J111" s="66" t="s">
        <v>135</v>
      </c>
      <c r="K111" s="66" t="s">
        <v>135</v>
      </c>
      <c r="L111" s="66" t="s">
        <v>135</v>
      </c>
      <c r="M111" s="66" t="s">
        <v>135</v>
      </c>
      <c r="N111" s="66" t="s">
        <v>135</v>
      </c>
      <c r="O111" s="66" t="s">
        <v>135</v>
      </c>
      <c r="P111" s="66" t="s">
        <v>135</v>
      </c>
      <c r="Q111" s="66" t="s">
        <v>135</v>
      </c>
      <c r="R111" s="66" t="s">
        <v>135</v>
      </c>
      <c r="S111" s="66" t="s">
        <v>135</v>
      </c>
      <c r="T111" s="66" t="s">
        <v>135</v>
      </c>
      <c r="U111" s="66" t="s">
        <v>135</v>
      </c>
      <c r="V111" s="66" t="s">
        <v>135</v>
      </c>
      <c r="W111" s="28" t="s">
        <v>135</v>
      </c>
      <c r="X111" s="28" t="s">
        <v>135</v>
      </c>
      <c r="Y111" s="28" t="s">
        <v>135</v>
      </c>
      <c r="Z111" s="28" t="s">
        <v>135</v>
      </c>
      <c r="AA111" s="28" t="s">
        <v>135</v>
      </c>
      <c r="AB111" s="28" t="s">
        <v>135</v>
      </c>
      <c r="AC111" s="28" t="s">
        <v>135</v>
      </c>
      <c r="AD111" s="28" t="s">
        <v>135</v>
      </c>
      <c r="AE111" s="28" t="s">
        <v>135</v>
      </c>
      <c r="AF111" s="28" t="s">
        <v>135</v>
      </c>
      <c r="AG111" s="28" t="s">
        <v>135</v>
      </c>
      <c r="AH111" s="28" t="s">
        <v>135</v>
      </c>
      <c r="AI111" s="28" t="s">
        <v>135</v>
      </c>
    </row>
    <row r="112" spans="1:35" s="2" customFormat="1" x14ac:dyDescent="0.2">
      <c r="A112" s="42" t="s">
        <v>116</v>
      </c>
      <c r="B112" s="42"/>
      <c r="C112" s="42"/>
      <c r="D112" s="66"/>
      <c r="E112" s="66"/>
      <c r="F112" s="66" t="s">
        <v>135</v>
      </c>
      <c r="G112" s="66" t="s">
        <v>135</v>
      </c>
      <c r="H112" s="66">
        <f>H122+H119+H123</f>
        <v>1552.1299999999999</v>
      </c>
      <c r="I112" s="66">
        <f t="shared" ref="I112:P112" si="42">I122+I119+I123</f>
        <v>1116.83</v>
      </c>
      <c r="J112" s="66">
        <f t="shared" si="42"/>
        <v>1482.87</v>
      </c>
      <c r="K112" s="66">
        <f t="shared" si="42"/>
        <v>1047.57</v>
      </c>
      <c r="L112" s="66">
        <f t="shared" si="42"/>
        <v>1438.4</v>
      </c>
      <c r="M112" s="66">
        <f t="shared" si="42"/>
        <v>1003.1</v>
      </c>
      <c r="N112" s="66">
        <f t="shared" si="42"/>
        <v>1513.55</v>
      </c>
      <c r="O112" s="66">
        <f t="shared" si="42"/>
        <v>1078.25</v>
      </c>
      <c r="P112" s="66">
        <f t="shared" si="42"/>
        <v>1551.58</v>
      </c>
      <c r="Q112" s="66">
        <f t="shared" ref="Q112:AI112" si="43">Q122+Q119+Q123</f>
        <v>1116.28</v>
      </c>
      <c r="R112" s="66">
        <f t="shared" si="43"/>
        <v>1418.42</v>
      </c>
      <c r="S112" s="66">
        <f t="shared" si="43"/>
        <v>983.12</v>
      </c>
      <c r="T112" s="66">
        <f t="shared" si="43"/>
        <v>1361.1</v>
      </c>
      <c r="U112" s="66">
        <f t="shared" si="43"/>
        <v>925.8</v>
      </c>
      <c r="V112" s="66">
        <f t="shared" si="43"/>
        <v>1442.93</v>
      </c>
      <c r="W112" s="28">
        <f t="shared" si="43"/>
        <v>864.53</v>
      </c>
      <c r="X112" s="28">
        <f t="shared" si="43"/>
        <v>1373.67</v>
      </c>
      <c r="Y112" s="28">
        <f t="shared" si="43"/>
        <v>795.27</v>
      </c>
      <c r="Z112" s="28">
        <f t="shared" si="43"/>
        <v>1329.2</v>
      </c>
      <c r="AA112" s="28">
        <f t="shared" si="43"/>
        <v>750.80000000000007</v>
      </c>
      <c r="AB112" s="28">
        <f t="shared" si="43"/>
        <v>1404.3500000000001</v>
      </c>
      <c r="AC112" s="28">
        <f t="shared" si="43"/>
        <v>825.95</v>
      </c>
      <c r="AD112" s="28">
        <f t="shared" si="43"/>
        <v>1442.38</v>
      </c>
      <c r="AE112" s="28">
        <f t="shared" si="43"/>
        <v>863.98</v>
      </c>
      <c r="AF112" s="28">
        <f t="shared" si="43"/>
        <v>1309.22</v>
      </c>
      <c r="AG112" s="28">
        <f t="shared" si="43"/>
        <v>730.82</v>
      </c>
      <c r="AH112" s="28">
        <f t="shared" si="43"/>
        <v>1251.9000000000001</v>
      </c>
      <c r="AI112" s="28">
        <f t="shared" si="43"/>
        <v>673.5</v>
      </c>
    </row>
    <row r="113" spans="1:35" s="2" customFormat="1" x14ac:dyDescent="0.2">
      <c r="A113" s="42" t="s">
        <v>117</v>
      </c>
      <c r="B113" s="42"/>
      <c r="C113" s="42"/>
      <c r="D113" s="66"/>
      <c r="E113" s="66"/>
      <c r="F113" s="66"/>
      <c r="G113" s="66"/>
      <c r="H113" s="66">
        <f>H118+H123*2</f>
        <v>1477.17</v>
      </c>
      <c r="I113" s="66">
        <f t="shared" ref="I113:P113" si="44">I118+I123*2</f>
        <v>1041.8700000000001</v>
      </c>
      <c r="J113" s="66">
        <f t="shared" si="44"/>
        <v>1414.21</v>
      </c>
      <c r="K113" s="66">
        <f t="shared" si="44"/>
        <v>978.91000000000008</v>
      </c>
      <c r="L113" s="66">
        <f t="shared" si="44"/>
        <v>1373.78</v>
      </c>
      <c r="M113" s="66">
        <f t="shared" si="44"/>
        <v>938.48</v>
      </c>
      <c r="N113" s="66">
        <f t="shared" si="44"/>
        <v>1442.1</v>
      </c>
      <c r="O113" s="66">
        <f t="shared" si="44"/>
        <v>1006.8</v>
      </c>
      <c r="P113" s="66">
        <f t="shared" si="44"/>
        <v>1476.67</v>
      </c>
      <c r="Q113" s="66">
        <f t="shared" ref="Q113:AI113" si="45">Q118+Q123*2</f>
        <v>1041.3700000000001</v>
      </c>
      <c r="R113" s="66">
        <f t="shared" si="45"/>
        <v>1355.62</v>
      </c>
      <c r="S113" s="66">
        <f t="shared" si="45"/>
        <v>920.31999999999994</v>
      </c>
      <c r="T113" s="66">
        <f t="shared" si="45"/>
        <v>1361.1</v>
      </c>
      <c r="U113" s="66">
        <f t="shared" si="45"/>
        <v>925.8</v>
      </c>
      <c r="V113" s="66">
        <f t="shared" si="45"/>
        <v>1367.97</v>
      </c>
      <c r="W113" s="28">
        <f t="shared" si="45"/>
        <v>789.57</v>
      </c>
      <c r="X113" s="28">
        <f t="shared" si="45"/>
        <v>1305.01</v>
      </c>
      <c r="Y113" s="28">
        <f t="shared" si="45"/>
        <v>726.61</v>
      </c>
      <c r="Z113" s="28">
        <f t="shared" si="45"/>
        <v>1264.58</v>
      </c>
      <c r="AA113" s="28">
        <f t="shared" si="45"/>
        <v>686.18</v>
      </c>
      <c r="AB113" s="28">
        <f t="shared" si="45"/>
        <v>1332.9</v>
      </c>
      <c r="AC113" s="28">
        <f t="shared" si="45"/>
        <v>754.5</v>
      </c>
      <c r="AD113" s="28">
        <f t="shared" si="45"/>
        <v>1367.47</v>
      </c>
      <c r="AE113" s="28">
        <f t="shared" si="45"/>
        <v>789.07</v>
      </c>
      <c r="AF113" s="28">
        <f t="shared" si="45"/>
        <v>1246.42</v>
      </c>
      <c r="AG113" s="28">
        <f t="shared" si="45"/>
        <v>668.02</v>
      </c>
      <c r="AH113" s="28">
        <f t="shared" si="45"/>
        <v>1251.9000000000001</v>
      </c>
      <c r="AI113" s="28">
        <f t="shared" si="45"/>
        <v>673.5</v>
      </c>
    </row>
    <row r="114" spans="1:35" s="2" customFormat="1" x14ac:dyDescent="0.2">
      <c r="A114" s="42" t="s">
        <v>118</v>
      </c>
      <c r="B114" s="42"/>
      <c r="C114" s="42"/>
      <c r="D114" s="66">
        <f>D122+D123*2</f>
        <v>1091.4000000000001</v>
      </c>
      <c r="E114" s="66">
        <f t="shared" ref="E114:G114" si="46">E122+E123*2</f>
        <v>438.45000000000005</v>
      </c>
      <c r="F114" s="66">
        <f t="shared" si="46"/>
        <v>927.59999999999991</v>
      </c>
      <c r="G114" s="66">
        <f t="shared" si="46"/>
        <v>60</v>
      </c>
      <c r="H114" s="66" t="s">
        <v>135</v>
      </c>
      <c r="I114" s="66" t="s">
        <v>135</v>
      </c>
      <c r="J114" s="66" t="s">
        <v>135</v>
      </c>
      <c r="K114" s="66" t="s">
        <v>135</v>
      </c>
      <c r="L114" s="66" t="s">
        <v>135</v>
      </c>
      <c r="M114" s="66" t="s">
        <v>135</v>
      </c>
      <c r="N114" s="66" t="s">
        <v>135</v>
      </c>
      <c r="O114" s="66" t="s">
        <v>135</v>
      </c>
      <c r="P114" s="66" t="s">
        <v>135</v>
      </c>
      <c r="Q114" s="66" t="s">
        <v>135</v>
      </c>
      <c r="R114" s="66" t="s">
        <v>135</v>
      </c>
      <c r="S114" s="66" t="s">
        <v>135</v>
      </c>
      <c r="T114" s="66" t="s">
        <v>135</v>
      </c>
      <c r="U114" s="66" t="s">
        <v>135</v>
      </c>
      <c r="V114" s="66" t="s">
        <v>135</v>
      </c>
      <c r="W114" s="28" t="s">
        <v>135</v>
      </c>
      <c r="X114" s="28" t="s">
        <v>135</v>
      </c>
      <c r="Y114" s="28" t="s">
        <v>135</v>
      </c>
      <c r="Z114" s="28" t="s">
        <v>135</v>
      </c>
      <c r="AA114" s="28" t="s">
        <v>135</v>
      </c>
      <c r="AB114" s="28" t="s">
        <v>135</v>
      </c>
      <c r="AC114" s="28" t="s">
        <v>135</v>
      </c>
      <c r="AD114" s="28" t="s">
        <v>135</v>
      </c>
      <c r="AE114" s="28" t="s">
        <v>135</v>
      </c>
      <c r="AF114" s="28" t="s">
        <v>135</v>
      </c>
      <c r="AG114" s="28" t="s">
        <v>135</v>
      </c>
      <c r="AH114" s="28" t="s">
        <v>135</v>
      </c>
      <c r="AI114" s="28" t="s">
        <v>135</v>
      </c>
    </row>
    <row r="115" spans="1:35" s="2" customFormat="1" ht="13.5" thickBot="1" x14ac:dyDescent="0.25">
      <c r="A115" s="42" t="s">
        <v>119</v>
      </c>
      <c r="B115" s="42"/>
      <c r="C115" s="42"/>
      <c r="D115" s="66"/>
      <c r="E115" s="66"/>
      <c r="F115" s="66" t="s">
        <v>135</v>
      </c>
      <c r="G115" s="66" t="s">
        <v>135</v>
      </c>
      <c r="H115" s="66">
        <f>SUM(H118,H120,H123)</f>
        <v>1937.8999999999999</v>
      </c>
      <c r="I115" s="66">
        <f t="shared" ref="I115:AI115" si="47">SUM(I118,I120,I123)</f>
        <v>1720.25</v>
      </c>
      <c r="J115" s="66">
        <f t="shared" si="47"/>
        <v>1805.68</v>
      </c>
      <c r="K115" s="66">
        <f t="shared" si="47"/>
        <v>1588.0300000000002</v>
      </c>
      <c r="L115" s="66">
        <f t="shared" si="47"/>
        <v>1720.78</v>
      </c>
      <c r="M115" s="66">
        <f t="shared" si="47"/>
        <v>1503.13</v>
      </c>
      <c r="N115" s="66">
        <f t="shared" si="47"/>
        <v>1864.25</v>
      </c>
      <c r="O115" s="66">
        <f>SUM(O118,O120,O123)</f>
        <v>1646.6000000000001</v>
      </c>
      <c r="P115" s="66">
        <f t="shared" si="47"/>
        <v>1936.8500000000001</v>
      </c>
      <c r="Q115" s="66">
        <f t="shared" si="47"/>
        <v>1719.2000000000003</v>
      </c>
      <c r="R115" s="66">
        <f t="shared" si="47"/>
        <v>1682.64</v>
      </c>
      <c r="S115" s="66">
        <f t="shared" si="47"/>
        <v>1464.9900000000002</v>
      </c>
      <c r="T115" s="66">
        <f t="shared" si="47"/>
        <v>1694.1499999999999</v>
      </c>
      <c r="U115" s="66">
        <f t="shared" si="47"/>
        <v>1476.5</v>
      </c>
      <c r="V115" s="66">
        <f t="shared" si="47"/>
        <v>1883.3</v>
      </c>
      <c r="W115" s="29">
        <f t="shared" si="47"/>
        <v>1594.1</v>
      </c>
      <c r="X115" s="29">
        <f t="shared" si="47"/>
        <v>1751.0800000000002</v>
      </c>
      <c r="Y115" s="29">
        <f t="shared" si="47"/>
        <v>1461.88</v>
      </c>
      <c r="Z115" s="29">
        <f t="shared" si="47"/>
        <v>1666.18</v>
      </c>
      <c r="AA115" s="29">
        <f t="shared" si="47"/>
        <v>1376.98</v>
      </c>
      <c r="AB115" s="29">
        <f t="shared" si="47"/>
        <v>1809.65</v>
      </c>
      <c r="AC115" s="29">
        <f t="shared" si="47"/>
        <v>1520.45</v>
      </c>
      <c r="AD115" s="29">
        <f t="shared" si="47"/>
        <v>1882.2500000000002</v>
      </c>
      <c r="AE115" s="29">
        <f t="shared" si="47"/>
        <v>1593.0500000000002</v>
      </c>
      <c r="AF115" s="29">
        <f t="shared" si="47"/>
        <v>1628.0400000000002</v>
      </c>
      <c r="AG115" s="29">
        <f t="shared" si="47"/>
        <v>1338.8400000000001</v>
      </c>
      <c r="AH115" s="29">
        <f t="shared" si="47"/>
        <v>1639.55</v>
      </c>
      <c r="AI115" s="29">
        <f t="shared" si="47"/>
        <v>1350.35</v>
      </c>
    </row>
    <row r="116" spans="1:35" x14ac:dyDescent="0.2"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13"/>
      <c r="X116" s="14"/>
      <c r="Y116" s="14"/>
      <c r="Z116" s="14"/>
      <c r="AA116" s="14"/>
      <c r="AB116" s="13"/>
      <c r="AC116" s="13"/>
      <c r="AD116" s="14"/>
      <c r="AE116" s="14"/>
      <c r="AF116" s="14"/>
      <c r="AG116" s="14"/>
      <c r="AH116" s="14"/>
      <c r="AI116" s="14"/>
    </row>
    <row r="117" spans="1:35" x14ac:dyDescent="0.2">
      <c r="D117" s="42"/>
      <c r="E117" s="42"/>
      <c r="F117" s="42"/>
      <c r="G117" s="42"/>
      <c r="H117" s="43" t="str">
        <f>V117</f>
        <v>B1</v>
      </c>
      <c r="I117" s="43" t="str">
        <f>H117</f>
        <v>B1</v>
      </c>
      <c r="J117" s="43" t="str">
        <f>X117</f>
        <v>B2</v>
      </c>
      <c r="K117" s="43" t="str">
        <f>J117</f>
        <v>B2</v>
      </c>
      <c r="L117" s="43" t="str">
        <f>Z117</f>
        <v>B3</v>
      </c>
      <c r="M117" s="43" t="str">
        <f>L117</f>
        <v>B3</v>
      </c>
      <c r="N117" s="43" t="str">
        <f>AB117</f>
        <v>B6</v>
      </c>
      <c r="O117" s="43" t="str">
        <f>N117</f>
        <v>B6</v>
      </c>
      <c r="P117" s="43" t="str">
        <f>AD117</f>
        <v>H1</v>
      </c>
      <c r="Q117" s="43" t="str">
        <f>P117</f>
        <v>H1</v>
      </c>
      <c r="R117" s="43" t="str">
        <f>AF117</f>
        <v>H2</v>
      </c>
      <c r="S117" s="43" t="str">
        <f>R117</f>
        <v>H2</v>
      </c>
      <c r="T117" s="43" t="str">
        <f>AH117</f>
        <v>K1</v>
      </c>
      <c r="U117" s="43" t="str">
        <f>T117</f>
        <v>K1</v>
      </c>
      <c r="V117" s="43" t="s">
        <v>27</v>
      </c>
      <c r="W117" s="15" t="str">
        <f>V117</f>
        <v>B1</v>
      </c>
      <c r="X117" s="16" t="s">
        <v>28</v>
      </c>
      <c r="Y117" s="16" t="str">
        <f>X117</f>
        <v>B2</v>
      </c>
      <c r="Z117" s="16" t="s">
        <v>29</v>
      </c>
      <c r="AA117" s="16" t="str">
        <f>Z117</f>
        <v>B3</v>
      </c>
      <c r="AB117" s="15" t="s">
        <v>30</v>
      </c>
      <c r="AC117" s="15" t="str">
        <f>AB117</f>
        <v>B6</v>
      </c>
      <c r="AD117" s="16" t="s">
        <v>32</v>
      </c>
      <c r="AE117" s="16" t="str">
        <f>AD117</f>
        <v>H1</v>
      </c>
      <c r="AF117" s="16" t="s">
        <v>33</v>
      </c>
      <c r="AG117" s="16" t="str">
        <f>AF117</f>
        <v>H2</v>
      </c>
      <c r="AH117" s="16" t="s">
        <v>31</v>
      </c>
      <c r="AI117" s="16" t="str">
        <f>AH117</f>
        <v>K1</v>
      </c>
    </row>
    <row r="118" spans="1:35" x14ac:dyDescent="0.2">
      <c r="C118" s="44" t="s">
        <v>136</v>
      </c>
      <c r="D118" s="42"/>
      <c r="E118" s="42"/>
      <c r="F118" s="42"/>
      <c r="H118" s="45">
        <f>VLOOKUP(H117,$B$76:$H$86,2,0)</f>
        <v>749.57</v>
      </c>
      <c r="I118" s="45">
        <f>VLOOKUP(I117,$B$76:$H$86,2,0)</f>
        <v>749.57</v>
      </c>
      <c r="J118" s="45">
        <f t="shared" ref="J118:AI118" si="48">VLOOKUP(J117,$B$76:$H$86,2,0)</f>
        <v>686.61</v>
      </c>
      <c r="K118" s="45">
        <f t="shared" si="48"/>
        <v>686.61</v>
      </c>
      <c r="L118" s="45">
        <f t="shared" si="48"/>
        <v>646.17999999999995</v>
      </c>
      <c r="M118" s="45">
        <f t="shared" si="48"/>
        <v>646.17999999999995</v>
      </c>
      <c r="N118" s="45">
        <f t="shared" si="48"/>
        <v>714.5</v>
      </c>
      <c r="O118" s="45">
        <f t="shared" si="48"/>
        <v>714.5</v>
      </c>
      <c r="P118" s="45">
        <f t="shared" si="48"/>
        <v>749.07</v>
      </c>
      <c r="Q118" s="45">
        <f t="shared" si="48"/>
        <v>749.07</v>
      </c>
      <c r="R118" s="45">
        <f t="shared" si="48"/>
        <v>628.02</v>
      </c>
      <c r="S118" s="45">
        <f t="shared" si="48"/>
        <v>628.02</v>
      </c>
      <c r="T118" s="45">
        <f>VLOOKUP(T117,$B$76:$H$86,2,0)</f>
        <v>633.5</v>
      </c>
      <c r="U118" s="45">
        <f t="shared" si="48"/>
        <v>633.5</v>
      </c>
      <c r="V118" s="45">
        <f t="shared" si="48"/>
        <v>749.57</v>
      </c>
      <c r="W118" s="17">
        <f t="shared" si="48"/>
        <v>749.57</v>
      </c>
      <c r="X118" s="17">
        <f t="shared" si="48"/>
        <v>686.61</v>
      </c>
      <c r="Y118" s="17">
        <f t="shared" si="48"/>
        <v>686.61</v>
      </c>
      <c r="Z118" s="17">
        <f t="shared" si="48"/>
        <v>646.17999999999995</v>
      </c>
      <c r="AA118" s="17">
        <f t="shared" si="48"/>
        <v>646.17999999999995</v>
      </c>
      <c r="AB118" s="17">
        <f t="shared" si="48"/>
        <v>714.5</v>
      </c>
      <c r="AC118" s="17">
        <f t="shared" si="48"/>
        <v>714.5</v>
      </c>
      <c r="AD118" s="17">
        <f t="shared" si="48"/>
        <v>749.07</v>
      </c>
      <c r="AE118" s="17">
        <f t="shared" si="48"/>
        <v>749.07</v>
      </c>
      <c r="AF118" s="17">
        <f t="shared" si="48"/>
        <v>628.02</v>
      </c>
      <c r="AG118" s="17">
        <f t="shared" si="48"/>
        <v>628.02</v>
      </c>
      <c r="AH118" s="17">
        <f t="shared" si="48"/>
        <v>633.5</v>
      </c>
      <c r="AI118" s="17">
        <f t="shared" si="48"/>
        <v>633.5</v>
      </c>
    </row>
    <row r="119" spans="1:35" x14ac:dyDescent="0.2">
      <c r="C119" s="44" t="s">
        <v>145</v>
      </c>
      <c r="D119" s="42"/>
      <c r="E119" s="42"/>
      <c r="F119" s="42"/>
      <c r="H119" s="45">
        <f>VLOOKUP(H117,$B$76:$H$86,4,0)</f>
        <v>824.53</v>
      </c>
      <c r="I119" s="45">
        <f>VLOOKUP(I117,$B$76:$H$86,4,0)</f>
        <v>824.53</v>
      </c>
      <c r="J119" s="45">
        <f t="shared" ref="J119:AI119" si="49">VLOOKUP(J117,$B$76:$H$86,4,0)</f>
        <v>755.27</v>
      </c>
      <c r="K119" s="45">
        <f t="shared" si="49"/>
        <v>755.27</v>
      </c>
      <c r="L119" s="45">
        <f t="shared" si="49"/>
        <v>710.80000000000007</v>
      </c>
      <c r="M119" s="45">
        <f t="shared" si="49"/>
        <v>710.80000000000007</v>
      </c>
      <c r="N119" s="45">
        <f t="shared" si="49"/>
        <v>785.95</v>
      </c>
      <c r="O119" s="45">
        <f t="shared" si="49"/>
        <v>785.95</v>
      </c>
      <c r="P119" s="45">
        <f t="shared" si="49"/>
        <v>823.98</v>
      </c>
      <c r="Q119" s="45">
        <f t="shared" si="49"/>
        <v>823.98</v>
      </c>
      <c r="R119" s="45">
        <f t="shared" si="49"/>
        <v>690.82</v>
      </c>
      <c r="S119" s="45">
        <f t="shared" si="49"/>
        <v>690.82</v>
      </c>
      <c r="T119" s="45">
        <f t="shared" si="49"/>
        <v>633.5</v>
      </c>
      <c r="U119" s="45">
        <f t="shared" si="49"/>
        <v>633.5</v>
      </c>
      <c r="V119" s="45">
        <f t="shared" si="49"/>
        <v>824.53</v>
      </c>
      <c r="W119" s="17">
        <f t="shared" si="49"/>
        <v>824.53</v>
      </c>
      <c r="X119" s="17">
        <f t="shared" si="49"/>
        <v>755.27</v>
      </c>
      <c r="Y119" s="17">
        <f t="shared" si="49"/>
        <v>755.27</v>
      </c>
      <c r="Z119" s="17">
        <f t="shared" si="49"/>
        <v>710.80000000000007</v>
      </c>
      <c r="AA119" s="17">
        <f t="shared" si="49"/>
        <v>710.80000000000007</v>
      </c>
      <c r="AB119" s="17">
        <f t="shared" si="49"/>
        <v>785.95</v>
      </c>
      <c r="AC119" s="17">
        <f t="shared" si="49"/>
        <v>785.95</v>
      </c>
      <c r="AD119" s="17">
        <f t="shared" si="49"/>
        <v>823.98</v>
      </c>
      <c r="AE119" s="17">
        <f t="shared" si="49"/>
        <v>823.98</v>
      </c>
      <c r="AF119" s="17">
        <f t="shared" si="49"/>
        <v>690.82</v>
      </c>
      <c r="AG119" s="17">
        <f t="shared" si="49"/>
        <v>690.82</v>
      </c>
      <c r="AH119" s="17">
        <f t="shared" si="49"/>
        <v>633.5</v>
      </c>
      <c r="AI119" s="17">
        <f t="shared" si="49"/>
        <v>633.5</v>
      </c>
    </row>
    <row r="120" spans="1:35" x14ac:dyDescent="0.2">
      <c r="C120" s="44" t="s">
        <v>144</v>
      </c>
      <c r="D120" s="42"/>
      <c r="E120" s="42"/>
      <c r="F120" s="42"/>
      <c r="H120" s="45">
        <f>VLOOKUP(H117,$B$76:$J$86,8,0)</f>
        <v>824.53</v>
      </c>
      <c r="I120" s="45">
        <f t="shared" ref="I120:AI120" si="50">VLOOKUP(I117,$B$76:$J$86,8,0)</f>
        <v>824.53</v>
      </c>
      <c r="J120" s="45">
        <f t="shared" si="50"/>
        <v>755.27</v>
      </c>
      <c r="K120" s="45">
        <f t="shared" si="50"/>
        <v>755.27</v>
      </c>
      <c r="L120" s="45">
        <f t="shared" si="50"/>
        <v>710.80000000000007</v>
      </c>
      <c r="M120" s="45">
        <f t="shared" si="50"/>
        <v>710.80000000000007</v>
      </c>
      <c r="N120" s="45">
        <f t="shared" si="50"/>
        <v>785.95</v>
      </c>
      <c r="O120" s="45">
        <f t="shared" si="50"/>
        <v>785.95</v>
      </c>
      <c r="P120" s="45">
        <f t="shared" si="50"/>
        <v>823.98</v>
      </c>
      <c r="Q120" s="45">
        <f t="shared" si="50"/>
        <v>823.98</v>
      </c>
      <c r="R120" s="45">
        <f t="shared" si="50"/>
        <v>690.82</v>
      </c>
      <c r="S120" s="45">
        <f t="shared" si="50"/>
        <v>690.82</v>
      </c>
      <c r="T120" s="45">
        <f t="shared" si="50"/>
        <v>696.84999999999991</v>
      </c>
      <c r="U120" s="45">
        <f t="shared" si="50"/>
        <v>696.84999999999991</v>
      </c>
      <c r="V120" s="45">
        <f t="shared" si="50"/>
        <v>824.53</v>
      </c>
      <c r="W120" s="17">
        <f t="shared" si="50"/>
        <v>824.53</v>
      </c>
      <c r="X120" s="17">
        <f t="shared" si="50"/>
        <v>755.27</v>
      </c>
      <c r="Y120" s="17">
        <f t="shared" si="50"/>
        <v>755.27</v>
      </c>
      <c r="Z120" s="17">
        <f t="shared" si="50"/>
        <v>710.80000000000007</v>
      </c>
      <c r="AA120" s="17">
        <f t="shared" si="50"/>
        <v>710.80000000000007</v>
      </c>
      <c r="AB120" s="17">
        <f t="shared" si="50"/>
        <v>785.95</v>
      </c>
      <c r="AC120" s="17">
        <f t="shared" si="50"/>
        <v>785.95</v>
      </c>
      <c r="AD120" s="17">
        <f t="shared" si="50"/>
        <v>823.98</v>
      </c>
      <c r="AE120" s="17">
        <f t="shared" si="50"/>
        <v>823.98</v>
      </c>
      <c r="AF120" s="17">
        <f t="shared" si="50"/>
        <v>690.82</v>
      </c>
      <c r="AG120" s="17">
        <f t="shared" si="50"/>
        <v>690.82</v>
      </c>
      <c r="AH120" s="17">
        <f t="shared" si="50"/>
        <v>696.84999999999991</v>
      </c>
      <c r="AI120" s="17">
        <f t="shared" si="50"/>
        <v>696.84999999999991</v>
      </c>
    </row>
    <row r="121" spans="1:35" x14ac:dyDescent="0.2">
      <c r="C121" s="44" t="s">
        <v>137</v>
      </c>
      <c r="D121" s="42"/>
      <c r="E121" s="42"/>
      <c r="F121" s="42"/>
      <c r="H121" s="45">
        <f>VLOOKUP(H117,$B$76:$H$86,6,0)</f>
        <v>524.70000000000005</v>
      </c>
      <c r="I121" s="45">
        <f>VLOOKUP(I117,$B$76:$H$86,6,0)</f>
        <v>524.70000000000005</v>
      </c>
      <c r="J121" s="45">
        <f t="shared" ref="J121:AI121" si="51">VLOOKUP(J117,$B$76:$H$86,6,0)</f>
        <v>480.63</v>
      </c>
      <c r="K121" s="45">
        <f t="shared" si="51"/>
        <v>480.63</v>
      </c>
      <c r="L121" s="45">
        <f t="shared" si="51"/>
        <v>452.33000000000004</v>
      </c>
      <c r="M121" s="45">
        <f t="shared" si="51"/>
        <v>452.33000000000004</v>
      </c>
      <c r="N121" s="45">
        <f t="shared" si="51"/>
        <v>500.15</v>
      </c>
      <c r="O121" s="45">
        <f t="shared" si="51"/>
        <v>500.15</v>
      </c>
      <c r="P121" s="45">
        <f t="shared" si="51"/>
        <v>524.35</v>
      </c>
      <c r="Q121" s="45">
        <f t="shared" si="51"/>
        <v>524.35</v>
      </c>
      <c r="R121" s="45">
        <f t="shared" si="51"/>
        <v>439.61</v>
      </c>
      <c r="S121" s="45">
        <f t="shared" si="51"/>
        <v>439.61</v>
      </c>
      <c r="T121" s="45">
        <f t="shared" si="51"/>
        <v>443.45000000000005</v>
      </c>
      <c r="U121" s="45">
        <f t="shared" si="51"/>
        <v>443.45000000000005</v>
      </c>
      <c r="V121" s="45">
        <f t="shared" si="51"/>
        <v>524.70000000000005</v>
      </c>
      <c r="W121" s="17">
        <f t="shared" si="51"/>
        <v>524.70000000000005</v>
      </c>
      <c r="X121" s="17">
        <f t="shared" si="51"/>
        <v>480.63</v>
      </c>
      <c r="Y121" s="17">
        <f t="shared" si="51"/>
        <v>480.63</v>
      </c>
      <c r="Z121" s="17">
        <f t="shared" si="51"/>
        <v>452.33000000000004</v>
      </c>
      <c r="AA121" s="17">
        <f t="shared" si="51"/>
        <v>452.33000000000004</v>
      </c>
      <c r="AB121" s="17">
        <f t="shared" si="51"/>
        <v>500.15</v>
      </c>
      <c r="AC121" s="17">
        <f t="shared" si="51"/>
        <v>500.15</v>
      </c>
      <c r="AD121" s="17">
        <f t="shared" si="51"/>
        <v>524.35</v>
      </c>
      <c r="AE121" s="17">
        <f t="shared" si="51"/>
        <v>524.35</v>
      </c>
      <c r="AF121" s="17">
        <f t="shared" si="51"/>
        <v>439.61</v>
      </c>
      <c r="AG121" s="17">
        <f t="shared" si="51"/>
        <v>439.61</v>
      </c>
      <c r="AH121" s="17">
        <f t="shared" si="51"/>
        <v>443.45000000000005</v>
      </c>
      <c r="AI121" s="17">
        <f t="shared" si="51"/>
        <v>443.45000000000005</v>
      </c>
    </row>
    <row r="122" spans="1:35" x14ac:dyDescent="0.2">
      <c r="C122" s="44" t="s">
        <v>140</v>
      </c>
      <c r="D122" s="45">
        <f>C84</f>
        <v>363.8</v>
      </c>
      <c r="E122" s="45">
        <f>C83</f>
        <v>146.15</v>
      </c>
      <c r="F122" s="45">
        <f>C86</f>
        <v>309.2</v>
      </c>
      <c r="G122" s="56">
        <f>C85</f>
        <v>20</v>
      </c>
      <c r="H122" s="45">
        <f>$D122</f>
        <v>363.8</v>
      </c>
      <c r="I122" s="45">
        <f>$E122</f>
        <v>146.15</v>
      </c>
      <c r="J122" s="45">
        <f t="shared" ref="J122:U123" si="52">H122</f>
        <v>363.8</v>
      </c>
      <c r="K122" s="45">
        <f t="shared" si="52"/>
        <v>146.15</v>
      </c>
      <c r="L122" s="45">
        <f t="shared" si="52"/>
        <v>363.8</v>
      </c>
      <c r="M122" s="45">
        <f t="shared" si="52"/>
        <v>146.15</v>
      </c>
      <c r="N122" s="45">
        <f t="shared" si="52"/>
        <v>363.8</v>
      </c>
      <c r="O122" s="45">
        <f t="shared" si="52"/>
        <v>146.15</v>
      </c>
      <c r="P122" s="45">
        <f t="shared" si="52"/>
        <v>363.8</v>
      </c>
      <c r="Q122" s="45">
        <f t="shared" si="52"/>
        <v>146.15</v>
      </c>
      <c r="R122" s="45">
        <f t="shared" si="52"/>
        <v>363.8</v>
      </c>
      <c r="S122" s="45">
        <f t="shared" si="52"/>
        <v>146.15</v>
      </c>
      <c r="T122" s="45">
        <f t="shared" si="52"/>
        <v>363.8</v>
      </c>
      <c r="U122" s="45">
        <f t="shared" si="52"/>
        <v>146.15</v>
      </c>
      <c r="V122" s="45">
        <f>F122</f>
        <v>309.2</v>
      </c>
      <c r="W122" s="17">
        <f>G122</f>
        <v>20</v>
      </c>
      <c r="X122" s="18">
        <f t="shared" ref="X122:AI123" si="53">V122</f>
        <v>309.2</v>
      </c>
      <c r="Y122" s="18">
        <f t="shared" si="53"/>
        <v>20</v>
      </c>
      <c r="Z122" s="18">
        <f t="shared" si="53"/>
        <v>309.2</v>
      </c>
      <c r="AA122" s="18">
        <f t="shared" si="53"/>
        <v>20</v>
      </c>
      <c r="AB122" s="18">
        <f t="shared" si="53"/>
        <v>309.2</v>
      </c>
      <c r="AC122" s="18">
        <f t="shared" si="53"/>
        <v>20</v>
      </c>
      <c r="AD122" s="18">
        <f t="shared" si="53"/>
        <v>309.2</v>
      </c>
      <c r="AE122" s="18">
        <f t="shared" si="53"/>
        <v>20</v>
      </c>
      <c r="AF122" s="18">
        <f t="shared" si="53"/>
        <v>309.2</v>
      </c>
      <c r="AG122" s="18">
        <f t="shared" si="53"/>
        <v>20</v>
      </c>
      <c r="AH122" s="18">
        <f t="shared" si="53"/>
        <v>309.2</v>
      </c>
      <c r="AI122" s="18">
        <f t="shared" si="53"/>
        <v>20</v>
      </c>
    </row>
    <row r="123" spans="1:35" x14ac:dyDescent="0.2">
      <c r="C123" s="44" t="s">
        <v>141</v>
      </c>
      <c r="D123" s="56">
        <f>E84</f>
        <v>363.8</v>
      </c>
      <c r="E123" s="56">
        <f>E83</f>
        <v>146.15</v>
      </c>
      <c r="F123" s="56">
        <f>E86</f>
        <v>309.2</v>
      </c>
      <c r="G123" s="56">
        <f>E85</f>
        <v>20</v>
      </c>
      <c r="H123" s="45">
        <f>$D123</f>
        <v>363.8</v>
      </c>
      <c r="I123" s="45">
        <f>$E123</f>
        <v>146.15</v>
      </c>
      <c r="J123" s="45">
        <f t="shared" si="52"/>
        <v>363.8</v>
      </c>
      <c r="K123" s="45">
        <f t="shared" si="52"/>
        <v>146.15</v>
      </c>
      <c r="L123" s="45">
        <f t="shared" si="52"/>
        <v>363.8</v>
      </c>
      <c r="M123" s="45">
        <f t="shared" si="52"/>
        <v>146.15</v>
      </c>
      <c r="N123" s="45">
        <f t="shared" si="52"/>
        <v>363.8</v>
      </c>
      <c r="O123" s="45">
        <f t="shared" si="52"/>
        <v>146.15</v>
      </c>
      <c r="P123" s="45">
        <f t="shared" si="52"/>
        <v>363.8</v>
      </c>
      <c r="Q123" s="45">
        <f t="shared" si="52"/>
        <v>146.15</v>
      </c>
      <c r="R123" s="45">
        <f t="shared" si="52"/>
        <v>363.8</v>
      </c>
      <c r="S123" s="45">
        <f t="shared" si="52"/>
        <v>146.15</v>
      </c>
      <c r="T123" s="45">
        <f t="shared" si="52"/>
        <v>363.8</v>
      </c>
      <c r="U123" s="45">
        <f t="shared" si="52"/>
        <v>146.15</v>
      </c>
      <c r="V123" s="45">
        <f>F123</f>
        <v>309.2</v>
      </c>
      <c r="W123" s="17">
        <f>G123</f>
        <v>20</v>
      </c>
      <c r="X123" s="18">
        <f t="shared" si="53"/>
        <v>309.2</v>
      </c>
      <c r="Y123" s="18">
        <f t="shared" si="53"/>
        <v>20</v>
      </c>
      <c r="Z123" s="18">
        <f t="shared" si="53"/>
        <v>309.2</v>
      </c>
      <c r="AA123" s="18">
        <f t="shared" si="53"/>
        <v>20</v>
      </c>
      <c r="AB123" s="18">
        <f t="shared" si="53"/>
        <v>309.2</v>
      </c>
      <c r="AC123" s="18">
        <f t="shared" si="53"/>
        <v>20</v>
      </c>
      <c r="AD123" s="18">
        <f t="shared" si="53"/>
        <v>309.2</v>
      </c>
      <c r="AE123" s="18">
        <f t="shared" si="53"/>
        <v>20</v>
      </c>
      <c r="AF123" s="18">
        <f t="shared" si="53"/>
        <v>309.2</v>
      </c>
      <c r="AG123" s="18">
        <f t="shared" si="53"/>
        <v>20</v>
      </c>
      <c r="AH123" s="18">
        <f t="shared" si="53"/>
        <v>309.2</v>
      </c>
      <c r="AI123" s="18">
        <f t="shared" si="53"/>
        <v>20</v>
      </c>
    </row>
  </sheetData>
  <sheetProtection password="8577" sheet="1" objects="1" scenarios="1"/>
  <mergeCells count="5">
    <mergeCell ref="D89:E89"/>
    <mergeCell ref="F89:G89"/>
    <mergeCell ref="C3:J3"/>
    <mergeCell ref="C4:F4"/>
    <mergeCell ref="G4:J4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Exh-Subsidy MA </vt:lpstr>
      <vt:lpstr>cal</vt:lpstr>
      <vt:lpstr>'Exh-Subsidy MA '!Print_Area</vt:lpstr>
      <vt:lpstr>'Exh-Subsidy MA '!Print_Titles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kdeng</dc:creator>
  <cp:keywords>PRRecord:2017 Retiree Rate Calculator_w full YOS Schedule.xlsx_20170131160902</cp:keywords>
  <cp:lastModifiedBy>Bell, Danielle</cp:lastModifiedBy>
  <cp:lastPrinted>2018-08-24T13:16:53Z</cp:lastPrinted>
  <dcterms:created xsi:type="dcterms:W3CDTF">2011-09-08T15:34:29Z</dcterms:created>
  <dcterms:modified xsi:type="dcterms:W3CDTF">2019-08-12T20:11:48Z</dcterms:modified>
</cp:coreProperties>
</file>