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julie_cao_dch_ga_gov/Documents/Documents/2025 Rates/Retiree calculator and Board member Rates/"/>
    </mc:Choice>
  </mc:AlternateContent>
  <xr:revisionPtr revIDLastSave="3" documentId="13_ncr:1_{9DD591D3-E78F-46BF-8924-7EDEB3537358}" xr6:coauthVersionLast="47" xr6:coauthVersionMax="47" xr10:uidLastSave="{B940187D-BAA3-4C71-B421-D8BD1630A9CD}"/>
  <bookViews>
    <workbookView xWindow="-23148" yWindow="-5508" windowWidth="23256" windowHeight="12576" tabRatio="758" xr2:uid="{00000000-000D-0000-FFFF-FFFF00000000}"/>
  </bookViews>
  <sheets>
    <sheet name="Exh-Subsidy MA " sheetId="49" r:id="rId1"/>
    <sheet name="cal" sheetId="50" state="hidden" r:id="rId2"/>
  </sheets>
  <definedNames>
    <definedName name="_xlnm._FilterDatabase" localSheetId="0" hidden="1">'Exh-Subsidy MA '!$A$10:$AI$35</definedName>
    <definedName name="Activity_Code">#REF!</definedName>
    <definedName name="Client_Deliverable">#REF!</definedName>
    <definedName name="Client_ID">#REF!</definedName>
    <definedName name="Client_Name">#REF!</definedName>
    <definedName name="deliverabePeriod">#REF!</definedName>
    <definedName name="Filename">#REF!</definedName>
    <definedName name="Notes_Table_Start">#REF!</definedName>
    <definedName name="PR_Aon_Location">#REF!</definedName>
    <definedName name="PR_Client_Location">#REF!</definedName>
    <definedName name="PR_CompletionDate">#REF!</definedName>
    <definedName name="PR_Considerations" localSheetId="1">#REF!</definedName>
    <definedName name="PR_Considerations" localSheetId="0">#REF!</definedName>
    <definedName name="PR_Considerations">#REF!</definedName>
    <definedName name="PR_Project_ID">#REF!</definedName>
    <definedName name="PR_Status">#REF!</definedName>
    <definedName name="Preparer_Email_1" localSheetId="1">#REF!</definedName>
    <definedName name="Preparer_Email_1" localSheetId="0">#REF!</definedName>
    <definedName name="Preparer_Email_1">#REF!</definedName>
    <definedName name="Preparer_Email_2" localSheetId="1">#REF!</definedName>
    <definedName name="Preparer_Email_2" localSheetId="0">#REF!</definedName>
    <definedName name="Preparer_Email_2">#REF!</definedName>
    <definedName name="Preparer_Name_1" localSheetId="1">#REF!</definedName>
    <definedName name="Preparer_Name_1" localSheetId="0">#REF!</definedName>
    <definedName name="Preparer_Name_1">#REF!</definedName>
    <definedName name="Preparer_Name_2" localSheetId="1">#REF!</definedName>
    <definedName name="Preparer_Name_2" localSheetId="0">#REF!</definedName>
    <definedName name="Preparer_Name_2">#REF!</definedName>
    <definedName name="Preparer_Name_And_Email_1">#REF!</definedName>
    <definedName name="Preparer_Name_And_Email_2">#REF!</definedName>
    <definedName name="_xlnm.Print_Area" localSheetId="0">'Exh-Subsidy MA '!$A$1:$AI$35</definedName>
    <definedName name="_xlnm.Print_Titles" localSheetId="0">'Exh-Subsidy MA '!$A:$C,'Exh-Subsidy MA '!$1:$10</definedName>
    <definedName name="Project_Code">#REF!</definedName>
    <definedName name="Project_Descr">#REF!</definedName>
    <definedName name="Project_Name">#REF!</definedName>
    <definedName name="Reviewer_Approval_1">#REF!</definedName>
    <definedName name="Reviewer_Approval_2">#REF!</definedName>
    <definedName name="Reviewer_Approval_3">#REF!</definedName>
    <definedName name="Reviewer_Approval_4">#REF!</definedName>
    <definedName name="Reviewer_Email_1" localSheetId="1">#REF!</definedName>
    <definedName name="Reviewer_Email_1" localSheetId="0">#REF!</definedName>
    <definedName name="Reviewer_Email_1">#REF!</definedName>
    <definedName name="Reviewer_Email_2" localSheetId="1">#REF!</definedName>
    <definedName name="Reviewer_Email_2" localSheetId="0">#REF!</definedName>
    <definedName name="Reviewer_Email_2">#REF!</definedName>
    <definedName name="Reviewer_Email_3" localSheetId="1">#REF!</definedName>
    <definedName name="Reviewer_Email_3" localSheetId="0">#REF!</definedName>
    <definedName name="Reviewer_Email_3">#REF!</definedName>
    <definedName name="Reviewer_Email_4" localSheetId="1">#REF!</definedName>
    <definedName name="Reviewer_Email_4" localSheetId="0">#REF!</definedName>
    <definedName name="Reviewer_Email_4">#REF!</definedName>
    <definedName name="Reviewer_Name_1" localSheetId="1">#REF!</definedName>
    <definedName name="Reviewer_Name_1" localSheetId="0">#REF!</definedName>
    <definedName name="Reviewer_Name_1">#REF!</definedName>
    <definedName name="Reviewer_Name_2" localSheetId="1">#REF!</definedName>
    <definedName name="Reviewer_Name_2" localSheetId="0">#REF!</definedName>
    <definedName name="Reviewer_Name_2">#REF!</definedName>
    <definedName name="Reviewer_Name_3" localSheetId="1">#REF!</definedName>
    <definedName name="Reviewer_Name_3" localSheetId="0">#REF!</definedName>
    <definedName name="Reviewer_Name_3">#REF!</definedName>
    <definedName name="Reviewer_Name_4" localSheetId="1">#REF!</definedName>
    <definedName name="Reviewer_Name_4" localSheetId="0">#REF!</definedName>
    <definedName name="Reviewer_Name_4">#REF!</definedName>
    <definedName name="Reviewer_Name_And_Email_1">#REF!</definedName>
    <definedName name="Reviewer_Name_And_Email_2">#REF!</definedName>
    <definedName name="Reviewer_Name_And_Email_3">#REF!</definedName>
    <definedName name="Reviewer_Name_And_Email_4">#REF!</definedName>
    <definedName name="Reviewer_Type_1">#REF!</definedName>
    <definedName name="Reviewer_Type_2">#REF!</definedName>
    <definedName name="Reviewer_Type_3">#REF!</definedName>
    <definedName name="Reviewer_Type_4">#REF!</definedName>
    <definedName name="Rule" localSheetId="1">#REF!</definedName>
    <definedName name="Rule" localSheetId="0">#REF!</definedName>
    <definedName name="Rule">#REF!</definedName>
    <definedName name="start_TOC">#REF!</definedName>
    <definedName name="Ti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8" i="50" l="1"/>
  <c r="H98" i="50" s="1"/>
  <c r="J98" i="50" s="1"/>
  <c r="L98" i="50" s="1"/>
  <c r="N98" i="50" s="1"/>
  <c r="P98" i="50" s="1"/>
  <c r="R98" i="50" s="1"/>
  <c r="T98" i="50" s="1"/>
  <c r="E98" i="50"/>
  <c r="I98" i="50" s="1"/>
  <c r="K98" i="50" s="1"/>
  <c r="M98" i="50" s="1"/>
  <c r="O98" i="50" s="1"/>
  <c r="Q98" i="50" s="1"/>
  <c r="S98" i="50" s="1"/>
  <c r="U98" i="50" s="1"/>
  <c r="F98" i="50"/>
  <c r="V98" i="50" s="1"/>
  <c r="X98" i="50" s="1"/>
  <c r="Z98" i="50" s="1"/>
  <c r="AB98" i="50" s="1"/>
  <c r="AD98" i="50" s="1"/>
  <c r="AF98" i="50" s="1"/>
  <c r="AH98" i="50" s="1"/>
  <c r="G98" i="50"/>
  <c r="W98" i="50" s="1"/>
  <c r="Y98" i="50" s="1"/>
  <c r="AA98" i="50" s="1"/>
  <c r="AC98" i="50" s="1"/>
  <c r="AE98" i="50" s="1"/>
  <c r="AG98" i="50" s="1"/>
  <c r="AI98" i="50" s="1"/>
  <c r="F82" i="50" l="1"/>
  <c r="J76" i="50" l="1"/>
  <c r="J77" i="50"/>
  <c r="J78" i="50"/>
  <c r="J79" i="50"/>
  <c r="J80" i="50"/>
  <c r="J81" i="50"/>
  <c r="B73" i="50"/>
  <c r="H90" i="50"/>
  <c r="Y90" i="50"/>
  <c r="L90" i="50"/>
  <c r="P90" i="50"/>
  <c r="AG90" i="50"/>
  <c r="I90" i="50" l="1"/>
  <c r="Q90" i="50"/>
  <c r="M90" i="50"/>
  <c r="W90" i="50"/>
  <c r="J90" i="50"/>
  <c r="AA90" i="50"/>
  <c r="T90" i="50"/>
  <c r="AI90" i="50"/>
  <c r="AC90" i="50"/>
  <c r="N90" i="50"/>
  <c r="AE90" i="50"/>
  <c r="R90" i="50"/>
  <c r="C30" i="50"/>
  <c r="C31" i="50"/>
  <c r="C32" i="50"/>
  <c r="C33" i="50"/>
  <c r="C34" i="50"/>
  <c r="C29" i="50"/>
  <c r="H29" i="50"/>
  <c r="F29" i="50"/>
  <c r="D87" i="50"/>
  <c r="E87" i="50" s="1"/>
  <c r="F87" i="50" s="1"/>
  <c r="G87" i="50" s="1"/>
  <c r="H87" i="50" s="1"/>
  <c r="I87" i="50" s="1"/>
  <c r="A84" i="50"/>
  <c r="A83" i="50"/>
  <c r="I49" i="50"/>
  <c r="I50" i="50" s="1"/>
  <c r="I51" i="50" s="1"/>
  <c r="I52" i="50" s="1"/>
  <c r="I53" i="50" s="1"/>
  <c r="I54" i="50" s="1"/>
  <c r="I55" i="50" s="1"/>
  <c r="I56" i="50" s="1"/>
  <c r="I57" i="50" s="1"/>
  <c r="I58" i="50" s="1"/>
  <c r="I59" i="50" s="1"/>
  <c r="I60" i="50" s="1"/>
  <c r="I61" i="50" s="1"/>
  <c r="I62" i="50" s="1"/>
  <c r="I63" i="50" s="1"/>
  <c r="I64" i="50" s="1"/>
  <c r="I65" i="50" s="1"/>
  <c r="I66" i="50" s="1"/>
  <c r="I67" i="50" s="1"/>
  <c r="I68" i="50" s="1"/>
  <c r="H49" i="50"/>
  <c r="H50" i="50" s="1"/>
  <c r="H51" i="50" s="1"/>
  <c r="H52" i="50" s="1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C49" i="50"/>
  <c r="C50" i="50" s="1"/>
  <c r="C51" i="50" s="1"/>
  <c r="C52" i="50" s="1"/>
  <c r="C53" i="50" s="1"/>
  <c r="C54" i="50" s="1"/>
  <c r="C55" i="50" s="1"/>
  <c r="C56" i="50" s="1"/>
  <c r="C57" i="50" s="1"/>
  <c r="C58" i="50" s="1"/>
  <c r="C59" i="50" s="1"/>
  <c r="C60" i="50" s="1"/>
  <c r="C61" i="50" s="1"/>
  <c r="C62" i="50" s="1"/>
  <c r="C63" i="50" s="1"/>
  <c r="C64" i="50" s="1"/>
  <c r="C65" i="50" s="1"/>
  <c r="C66" i="50" s="1"/>
  <c r="C67" i="50" s="1"/>
  <c r="C68" i="50" s="1"/>
  <c r="B49" i="50"/>
  <c r="B50" i="50" s="1"/>
  <c r="B51" i="50" s="1"/>
  <c r="B52" i="50" s="1"/>
  <c r="B53" i="50" s="1"/>
  <c r="B54" i="50" s="1"/>
  <c r="B55" i="50" s="1"/>
  <c r="B56" i="50" s="1"/>
  <c r="B57" i="50" s="1"/>
  <c r="B58" i="50" s="1"/>
  <c r="B59" i="50" s="1"/>
  <c r="B60" i="50" s="1"/>
  <c r="B61" i="50" s="1"/>
  <c r="B62" i="50" s="1"/>
  <c r="B63" i="50" s="1"/>
  <c r="B64" i="50" s="1"/>
  <c r="B65" i="50" s="1"/>
  <c r="B66" i="50" s="1"/>
  <c r="B67" i="50" s="1"/>
  <c r="B68" i="50" s="1"/>
  <c r="A49" i="50"/>
  <c r="T49" i="50" s="1"/>
  <c r="T48" i="50"/>
  <c r="T47" i="50"/>
  <c r="J39" i="50"/>
  <c r="J38" i="50"/>
  <c r="J37" i="50"/>
  <c r="A37" i="50"/>
  <c r="J36" i="50"/>
  <c r="A36" i="50"/>
  <c r="J35" i="50"/>
  <c r="J34" i="50"/>
  <c r="J33" i="50"/>
  <c r="J32" i="50"/>
  <c r="J31" i="50"/>
  <c r="J30" i="50"/>
  <c r="J29" i="50"/>
  <c r="E23" i="50"/>
  <c r="B23" i="50"/>
  <c r="E22" i="50"/>
  <c r="B22" i="50"/>
  <c r="E21" i="50"/>
  <c r="C37" i="50"/>
  <c r="D37" i="50" s="1"/>
  <c r="C38" i="50"/>
  <c r="D38" i="50" s="1"/>
  <c r="A4" i="49"/>
  <c r="AI10" i="49"/>
  <c r="AH10" i="49"/>
  <c r="AG10" i="49"/>
  <c r="AF10" i="49"/>
  <c r="AE10" i="49"/>
  <c r="AD10" i="49"/>
  <c r="AC10" i="49"/>
  <c r="AB10" i="49"/>
  <c r="AA10" i="49"/>
  <c r="Z10" i="49"/>
  <c r="Y10" i="49"/>
  <c r="X10" i="49"/>
  <c r="W10" i="49"/>
  <c r="V10" i="49"/>
  <c r="U10" i="49"/>
  <c r="T10" i="49"/>
  <c r="S10" i="49"/>
  <c r="R10" i="49"/>
  <c r="Q10" i="49"/>
  <c r="P10" i="49"/>
  <c r="O10" i="49"/>
  <c r="N10" i="49"/>
  <c r="M10" i="49"/>
  <c r="L10" i="49"/>
  <c r="K10" i="49"/>
  <c r="J10" i="49"/>
  <c r="K90" i="50" l="1"/>
  <c r="H35" i="50"/>
  <c r="H34" i="50"/>
  <c r="H33" i="50"/>
  <c r="H32" i="50"/>
  <c r="H31" i="50"/>
  <c r="H30" i="50"/>
  <c r="H37" i="50"/>
  <c r="L58" i="50"/>
  <c r="M58" i="50" s="1"/>
  <c r="F38" i="50"/>
  <c r="L57" i="50"/>
  <c r="J82" i="50"/>
  <c r="F35" i="50"/>
  <c r="F34" i="50"/>
  <c r="F33" i="50"/>
  <c r="F32" i="50"/>
  <c r="F31" i="50"/>
  <c r="F30" i="50"/>
  <c r="D76" i="50"/>
  <c r="D29" i="50"/>
  <c r="F37" i="50"/>
  <c r="D82" i="50"/>
  <c r="D35" i="50"/>
  <c r="D81" i="50"/>
  <c r="D34" i="50"/>
  <c r="D80" i="50"/>
  <c r="D33" i="50"/>
  <c r="D79" i="50"/>
  <c r="D32" i="50"/>
  <c r="D78" i="50"/>
  <c r="D31" i="50"/>
  <c r="L55" i="50" s="1"/>
  <c r="D77" i="50"/>
  <c r="D30" i="50"/>
  <c r="H76" i="50"/>
  <c r="H82" i="50"/>
  <c r="H81" i="50"/>
  <c r="H80" i="50"/>
  <c r="H79" i="50"/>
  <c r="H78" i="50"/>
  <c r="H77" i="50"/>
  <c r="F81" i="50"/>
  <c r="F80" i="50"/>
  <c r="F79" i="50"/>
  <c r="F78" i="50"/>
  <c r="F77" i="50"/>
  <c r="F76" i="50"/>
  <c r="U90" i="50"/>
  <c r="S90" i="50"/>
  <c r="O90" i="50"/>
  <c r="G35" i="50"/>
  <c r="N56" i="50" s="1"/>
  <c r="E34" i="50"/>
  <c r="E30" i="50"/>
  <c r="G31" i="50"/>
  <c r="G34" i="50"/>
  <c r="G33" i="50"/>
  <c r="G32" i="50"/>
  <c r="G30" i="50"/>
  <c r="C35" i="50"/>
  <c r="E33" i="50"/>
  <c r="E32" i="50"/>
  <c r="E35" i="50"/>
  <c r="E31" i="50"/>
  <c r="A50" i="50"/>
  <c r="T50" i="50" s="1"/>
  <c r="C39" i="50"/>
  <c r="G29" i="50"/>
  <c r="E38" i="50"/>
  <c r="G38" i="50"/>
  <c r="E29" i="50"/>
  <c r="G37" i="50"/>
  <c r="E37" i="50"/>
  <c r="C36" i="50"/>
  <c r="N55" i="50" l="1"/>
  <c r="M55" i="50"/>
  <c r="M56" i="50"/>
  <c r="D36" i="50"/>
  <c r="F36" i="50" s="1"/>
  <c r="N58" i="50"/>
  <c r="D39" i="50"/>
  <c r="H38" i="50"/>
  <c r="L56" i="50"/>
  <c r="E39" i="50"/>
  <c r="M57" i="50"/>
  <c r="G39" i="50"/>
  <c r="A51" i="50"/>
  <c r="T51" i="50" s="1"/>
  <c r="G36" i="50"/>
  <c r="E36" i="50"/>
  <c r="H36" i="50" l="1"/>
  <c r="N57" i="50"/>
  <c r="F39" i="50"/>
  <c r="H39" i="50"/>
  <c r="A52" i="50"/>
  <c r="T52" i="50" s="1"/>
  <c r="A53" i="50" l="1"/>
  <c r="T53" i="50" s="1"/>
  <c r="A54" i="50" l="1"/>
  <c r="A55" i="50" s="1"/>
  <c r="T54" i="50" l="1"/>
  <c r="A56" i="50"/>
  <c r="T55" i="50"/>
  <c r="T56" i="50" l="1"/>
  <c r="A57" i="50"/>
  <c r="A58" i="50" l="1"/>
  <c r="T57" i="50"/>
  <c r="T58" i="50" l="1"/>
  <c r="A59" i="50"/>
  <c r="T59" i="50" l="1"/>
  <c r="A60" i="50"/>
  <c r="T60" i="50" l="1"/>
  <c r="A61" i="50"/>
  <c r="T61" i="50" l="1"/>
  <c r="A62" i="50"/>
  <c r="T62" i="50" l="1"/>
  <c r="A63" i="50"/>
  <c r="I82" i="50" l="1"/>
  <c r="G82" i="50"/>
  <c r="I78" i="50"/>
  <c r="G78" i="50"/>
  <c r="E78" i="50"/>
  <c r="C83" i="50"/>
  <c r="E95" i="50" s="1"/>
  <c r="E83" i="50"/>
  <c r="E96" i="50" s="1"/>
  <c r="C82" i="50"/>
  <c r="C78" i="50"/>
  <c r="E82" i="50"/>
  <c r="T63" i="50"/>
  <c r="A64" i="50"/>
  <c r="E155" i="50" l="1"/>
  <c r="E126" i="50"/>
  <c r="E34" i="49" s="1"/>
  <c r="E133" i="50"/>
  <c r="E138" i="50"/>
  <c r="E109" i="50"/>
  <c r="E104" i="50"/>
  <c r="E12" i="49" s="1"/>
  <c r="Z94" i="50"/>
  <c r="L94" i="50"/>
  <c r="AA94" i="50"/>
  <c r="M94" i="50"/>
  <c r="AH92" i="50"/>
  <c r="AI92" i="50"/>
  <c r="T92" i="50"/>
  <c r="U92" i="50"/>
  <c r="Z91" i="50"/>
  <c r="L91" i="50"/>
  <c r="AA91" i="50"/>
  <c r="M91" i="50"/>
  <c r="AH91" i="50"/>
  <c r="AI91" i="50"/>
  <c r="T91" i="50"/>
  <c r="U91" i="50"/>
  <c r="Z92" i="50"/>
  <c r="L92" i="50"/>
  <c r="AA92" i="50"/>
  <c r="M92" i="50"/>
  <c r="Z93" i="50"/>
  <c r="L93" i="50"/>
  <c r="AA93" i="50"/>
  <c r="M93" i="50"/>
  <c r="AH94" i="50"/>
  <c r="AI94" i="50"/>
  <c r="T94" i="50"/>
  <c r="U94" i="50"/>
  <c r="AH93" i="50"/>
  <c r="AI93" i="50"/>
  <c r="T93" i="50"/>
  <c r="U93" i="50"/>
  <c r="E77" i="50"/>
  <c r="E79" i="50"/>
  <c r="E81" i="50"/>
  <c r="E80" i="50"/>
  <c r="E76" i="50"/>
  <c r="C84" i="50"/>
  <c r="D95" i="50" s="1"/>
  <c r="C85" i="50"/>
  <c r="G95" i="50" s="1"/>
  <c r="C86" i="50"/>
  <c r="F95" i="50" s="1"/>
  <c r="I80" i="50"/>
  <c r="I81" i="50"/>
  <c r="I79" i="50"/>
  <c r="I76" i="50"/>
  <c r="I77" i="50"/>
  <c r="E86" i="50"/>
  <c r="E84" i="50"/>
  <c r="D96" i="50" s="1"/>
  <c r="E85" i="50"/>
  <c r="C81" i="50"/>
  <c r="C76" i="50"/>
  <c r="C80" i="50"/>
  <c r="C77" i="50"/>
  <c r="C79" i="50"/>
  <c r="G76" i="50"/>
  <c r="G79" i="50"/>
  <c r="G77" i="50"/>
  <c r="G80" i="50"/>
  <c r="G81" i="50"/>
  <c r="T64" i="50"/>
  <c r="A65" i="50"/>
  <c r="E116" i="50" l="1"/>
  <c r="E17" i="49"/>
  <c r="E145" i="50"/>
  <c r="F133" i="50"/>
  <c r="F104" i="50"/>
  <c r="F12" i="49" s="1"/>
  <c r="D138" i="50"/>
  <c r="D133" i="50"/>
  <c r="D104" i="50"/>
  <c r="D12" i="49" s="1"/>
  <c r="D109" i="50"/>
  <c r="D155" i="50"/>
  <c r="D126" i="50"/>
  <c r="G133" i="50"/>
  <c r="G104" i="50"/>
  <c r="G12" i="49" s="1"/>
  <c r="AD92" i="50"/>
  <c r="P92" i="50"/>
  <c r="Q92" i="50"/>
  <c r="AE92" i="50"/>
  <c r="X92" i="50"/>
  <c r="Y92" i="50"/>
  <c r="J92" i="50"/>
  <c r="K92" i="50"/>
  <c r="X94" i="50"/>
  <c r="Y94" i="50"/>
  <c r="J94" i="50"/>
  <c r="K94" i="50"/>
  <c r="AB94" i="50"/>
  <c r="AC94" i="50"/>
  <c r="N94" i="50"/>
  <c r="O94" i="50"/>
  <c r="AF93" i="50"/>
  <c r="AG93" i="50"/>
  <c r="R93" i="50"/>
  <c r="S93" i="50"/>
  <c r="AD91" i="50"/>
  <c r="P91" i="50"/>
  <c r="AE91" i="50"/>
  <c r="Q91" i="50"/>
  <c r="V91" i="50"/>
  <c r="H91" i="50"/>
  <c r="W91" i="50"/>
  <c r="I91" i="50"/>
  <c r="AF92" i="50"/>
  <c r="AG92" i="50"/>
  <c r="R92" i="50"/>
  <c r="S92" i="50"/>
  <c r="AF94" i="50"/>
  <c r="AG94" i="50"/>
  <c r="R94" i="50"/>
  <c r="S94" i="50"/>
  <c r="AB92" i="50"/>
  <c r="AC92" i="50"/>
  <c r="N92" i="50"/>
  <c r="O92" i="50"/>
  <c r="AD94" i="50"/>
  <c r="P94" i="50"/>
  <c r="Q94" i="50"/>
  <c r="AE94" i="50"/>
  <c r="X93" i="50"/>
  <c r="Y93" i="50"/>
  <c r="J93" i="50"/>
  <c r="K93" i="50"/>
  <c r="V93" i="50"/>
  <c r="H93" i="50"/>
  <c r="I93" i="50"/>
  <c r="W93" i="50"/>
  <c r="AB93" i="50"/>
  <c r="AC93" i="50"/>
  <c r="N93" i="50"/>
  <c r="O93" i="50"/>
  <c r="V94" i="50"/>
  <c r="H94" i="50"/>
  <c r="I94" i="50"/>
  <c r="W94" i="50"/>
  <c r="AB91" i="50"/>
  <c r="AC91" i="50"/>
  <c r="N91" i="50"/>
  <c r="O91" i="50"/>
  <c r="AD93" i="50"/>
  <c r="P93" i="50"/>
  <c r="AE93" i="50"/>
  <c r="Q93" i="50"/>
  <c r="X91" i="50"/>
  <c r="Y91" i="50"/>
  <c r="J91" i="50"/>
  <c r="K91" i="50"/>
  <c r="AF91" i="50"/>
  <c r="AG91" i="50"/>
  <c r="R91" i="50"/>
  <c r="S91" i="50"/>
  <c r="V92" i="50"/>
  <c r="H92" i="50"/>
  <c r="W92" i="50"/>
  <c r="I92" i="50"/>
  <c r="F86" i="50"/>
  <c r="F96" i="50"/>
  <c r="F85" i="50"/>
  <c r="G96" i="50"/>
  <c r="T65" i="50"/>
  <c r="A66" i="50"/>
  <c r="D34" i="49" l="1"/>
  <c r="E24" i="49"/>
  <c r="D17" i="49"/>
  <c r="D145" i="50"/>
  <c r="G155" i="50"/>
  <c r="G126" i="50"/>
  <c r="G34" i="49" s="1"/>
  <c r="G109" i="50"/>
  <c r="F155" i="50"/>
  <c r="F126" i="50"/>
  <c r="F109" i="50"/>
  <c r="G138" i="50"/>
  <c r="F138" i="50"/>
  <c r="T66" i="50"/>
  <c r="A67" i="50"/>
  <c r="F34" i="49" l="1"/>
  <c r="G116" i="50"/>
  <c r="G17" i="49"/>
  <c r="F116" i="50"/>
  <c r="F17" i="49"/>
  <c r="G145" i="50"/>
  <c r="F145" i="50"/>
  <c r="T67" i="50"/>
  <c r="A68" i="50"/>
  <c r="F24" i="49" l="1"/>
  <c r="G24" i="49"/>
  <c r="T68" i="50"/>
  <c r="D83" i="50" l="1"/>
  <c r="W95" i="50"/>
  <c r="D85" i="50"/>
  <c r="W112" i="50" l="1"/>
  <c r="W148" i="50"/>
  <c r="W136" i="50"/>
  <c r="W119" i="50"/>
  <c r="W107" i="50"/>
  <c r="W15" i="49" s="1"/>
  <c r="W141" i="50"/>
  <c r="H85" i="50"/>
  <c r="J85" i="50" s="1"/>
  <c r="Y95" i="50"/>
  <c r="W27" i="49" l="1"/>
  <c r="W20" i="49"/>
  <c r="Y119" i="50"/>
  <c r="Y107" i="50"/>
  <c r="Y148" i="50"/>
  <c r="Y112" i="50"/>
  <c r="Y136" i="50"/>
  <c r="Y141" i="50"/>
  <c r="AA95" i="50"/>
  <c r="F83" i="50"/>
  <c r="H83" i="50" s="1"/>
  <c r="J83" i="50" s="1"/>
  <c r="G85" i="50"/>
  <c r="I85" i="50" s="1"/>
  <c r="I95" i="50"/>
  <c r="Y20" i="49" l="1"/>
  <c r="Y15" i="49"/>
  <c r="Y27" i="49"/>
  <c r="I141" i="50"/>
  <c r="I119" i="50"/>
  <c r="I148" i="50"/>
  <c r="I136" i="50"/>
  <c r="I112" i="50"/>
  <c r="I107" i="50"/>
  <c r="AA119" i="50"/>
  <c r="AA107" i="50"/>
  <c r="AA141" i="50"/>
  <c r="AA112" i="50"/>
  <c r="AA20" i="49" s="1"/>
  <c r="AA136" i="50"/>
  <c r="AA148" i="50"/>
  <c r="G83" i="50"/>
  <c r="I83" i="50" s="1"/>
  <c r="AC95" i="50"/>
  <c r="K95" i="50"/>
  <c r="W96" i="50"/>
  <c r="I20" i="49" l="1"/>
  <c r="I15" i="49"/>
  <c r="I27" i="49"/>
  <c r="AA15" i="49"/>
  <c r="AA27" i="49"/>
  <c r="AC148" i="50"/>
  <c r="AC136" i="50"/>
  <c r="AC119" i="50"/>
  <c r="AC27" i="49" s="1"/>
  <c r="AC141" i="50"/>
  <c r="AC107" i="50"/>
  <c r="AC112" i="50"/>
  <c r="W125" i="50"/>
  <c r="W154" i="50"/>
  <c r="W120" i="50"/>
  <c r="W149" i="50"/>
  <c r="W127" i="50"/>
  <c r="W35" i="49" s="1"/>
  <c r="W137" i="50"/>
  <c r="W144" i="50"/>
  <c r="W115" i="50"/>
  <c r="W156" i="50"/>
  <c r="W108" i="50"/>
  <c r="W121" i="50"/>
  <c r="W153" i="50"/>
  <c r="W124" i="50"/>
  <c r="W32" i="49" s="1"/>
  <c r="W150" i="50"/>
  <c r="K112" i="50"/>
  <c r="K107" i="50"/>
  <c r="K119" i="50"/>
  <c r="K136" i="50"/>
  <c r="K141" i="50"/>
  <c r="K148" i="50"/>
  <c r="Y96" i="50"/>
  <c r="AE95" i="50"/>
  <c r="M95" i="50"/>
  <c r="I96" i="50"/>
  <c r="K20" i="49" l="1"/>
  <c r="AC15" i="49"/>
  <c r="W16" i="49"/>
  <c r="W29" i="49"/>
  <c r="K27" i="49"/>
  <c r="W33" i="49"/>
  <c r="W28" i="49"/>
  <c r="K15" i="49"/>
  <c r="W23" i="49"/>
  <c r="AC20" i="49"/>
  <c r="AE141" i="50"/>
  <c r="AE119" i="50"/>
  <c r="AE107" i="50"/>
  <c r="AE112" i="50"/>
  <c r="AE20" i="49" s="1"/>
  <c r="AE136" i="50"/>
  <c r="AE148" i="50"/>
  <c r="M119" i="50"/>
  <c r="M148" i="50"/>
  <c r="M141" i="50"/>
  <c r="M136" i="50"/>
  <c r="M107" i="50"/>
  <c r="M15" i="49" s="1"/>
  <c r="M112" i="50"/>
  <c r="M20" i="49" s="1"/>
  <c r="I125" i="50"/>
  <c r="I137" i="50"/>
  <c r="I120" i="50"/>
  <c r="I115" i="50"/>
  <c r="I127" i="50"/>
  <c r="I108" i="50"/>
  <c r="I156" i="50"/>
  <c r="I149" i="50"/>
  <c r="I154" i="50"/>
  <c r="I144" i="50"/>
  <c r="I121" i="50"/>
  <c r="I153" i="50"/>
  <c r="I150" i="50"/>
  <c r="I124" i="50"/>
  <c r="Y125" i="50"/>
  <c r="Y149" i="50"/>
  <c r="Y137" i="50"/>
  <c r="Y120" i="50"/>
  <c r="Y108" i="50"/>
  <c r="Y144" i="50"/>
  <c r="Y154" i="50"/>
  <c r="Y127" i="50"/>
  <c r="Y115" i="50"/>
  <c r="Y156" i="50"/>
  <c r="Y124" i="50"/>
  <c r="Y121" i="50"/>
  <c r="Y150" i="50"/>
  <c r="Y153" i="50"/>
  <c r="AG95" i="50"/>
  <c r="K96" i="50"/>
  <c r="AA96" i="50"/>
  <c r="O95" i="50"/>
  <c r="Y28" i="49" l="1"/>
  <c r="Y16" i="49"/>
  <c r="I28" i="49"/>
  <c r="I23" i="49"/>
  <c r="I35" i="49"/>
  <c r="I29" i="49"/>
  <c r="Y32" i="49"/>
  <c r="I33" i="49"/>
  <c r="Y29" i="49"/>
  <c r="Y23" i="49"/>
  <c r="Y33" i="49"/>
  <c r="AE15" i="49"/>
  <c r="M27" i="49"/>
  <c r="Y35" i="49"/>
  <c r="I32" i="49"/>
  <c r="I16" i="49"/>
  <c r="AE27" i="49"/>
  <c r="O148" i="50"/>
  <c r="O119" i="50"/>
  <c r="O136" i="50"/>
  <c r="O141" i="50"/>
  <c r="O112" i="50"/>
  <c r="O107" i="50"/>
  <c r="K125" i="50"/>
  <c r="K154" i="50"/>
  <c r="K127" i="50"/>
  <c r="K137" i="50"/>
  <c r="K144" i="50"/>
  <c r="K156" i="50"/>
  <c r="K120" i="50"/>
  <c r="K149" i="50"/>
  <c r="K108" i="50"/>
  <c r="K115" i="50"/>
  <c r="K124" i="50"/>
  <c r="K153" i="50"/>
  <c r="K121" i="50"/>
  <c r="K150" i="50"/>
  <c r="AA125" i="50"/>
  <c r="AA154" i="50"/>
  <c r="AA144" i="50"/>
  <c r="AA156" i="50"/>
  <c r="AA149" i="50"/>
  <c r="AA120" i="50"/>
  <c r="AA115" i="50"/>
  <c r="AA127" i="50"/>
  <c r="AA108" i="50"/>
  <c r="AA137" i="50"/>
  <c r="AA121" i="50"/>
  <c r="AA124" i="50"/>
  <c r="AA153" i="50"/>
  <c r="AA150" i="50"/>
  <c r="AG107" i="50"/>
  <c r="AG136" i="50"/>
  <c r="AG141" i="50"/>
  <c r="AG148" i="50"/>
  <c r="AG119" i="50"/>
  <c r="AG112" i="50"/>
  <c r="AC96" i="50"/>
  <c r="AI95" i="50"/>
  <c r="Q95" i="50"/>
  <c r="M96" i="50"/>
  <c r="AG27" i="49" l="1"/>
  <c r="AA28" i="49"/>
  <c r="O27" i="49"/>
  <c r="AG20" i="49"/>
  <c r="AA23" i="49"/>
  <c r="AA16" i="49"/>
  <c r="AA35" i="49"/>
  <c r="K29" i="49"/>
  <c r="K32" i="49"/>
  <c r="K35" i="49"/>
  <c r="AG15" i="49"/>
  <c r="AA32" i="49"/>
  <c r="K16" i="49"/>
  <c r="K33" i="49"/>
  <c r="AA29" i="49"/>
  <c r="O15" i="49"/>
  <c r="K23" i="49"/>
  <c r="AA33" i="49"/>
  <c r="K28" i="49"/>
  <c r="O20" i="49"/>
  <c r="AI141" i="50"/>
  <c r="AI112" i="50"/>
  <c r="AI136" i="50"/>
  <c r="AI119" i="50"/>
  <c r="AI148" i="50"/>
  <c r="AI107" i="50"/>
  <c r="M125" i="50"/>
  <c r="M108" i="50"/>
  <c r="M115" i="50"/>
  <c r="M120" i="50"/>
  <c r="M156" i="50"/>
  <c r="M149" i="50"/>
  <c r="M137" i="50"/>
  <c r="M154" i="50"/>
  <c r="M144" i="50"/>
  <c r="M127" i="50"/>
  <c r="M153" i="50"/>
  <c r="M150" i="50"/>
  <c r="M124" i="50"/>
  <c r="M121" i="50"/>
  <c r="Q136" i="50"/>
  <c r="Q148" i="50"/>
  <c r="Q107" i="50"/>
  <c r="Q112" i="50"/>
  <c r="Q141" i="50"/>
  <c r="Q119" i="50"/>
  <c r="AC125" i="50"/>
  <c r="AC154" i="50"/>
  <c r="AC156" i="50"/>
  <c r="AC144" i="50"/>
  <c r="AC137" i="50"/>
  <c r="AC149" i="50"/>
  <c r="AC127" i="50"/>
  <c r="AC120" i="50"/>
  <c r="AC108" i="50"/>
  <c r="AC115" i="50"/>
  <c r="AC153" i="50"/>
  <c r="AC124" i="50"/>
  <c r="AC121" i="50"/>
  <c r="AC150" i="50"/>
  <c r="AE96" i="50"/>
  <c r="S95" i="50"/>
  <c r="O96" i="50"/>
  <c r="M33" i="49" l="1"/>
  <c r="AC23" i="49"/>
  <c r="Q27" i="49"/>
  <c r="AC35" i="49"/>
  <c r="M23" i="49"/>
  <c r="M16" i="49"/>
  <c r="Q15" i="49"/>
  <c r="AC32" i="49"/>
  <c r="AI27" i="49"/>
  <c r="AC16" i="49"/>
  <c r="AC33" i="49"/>
  <c r="M32" i="49"/>
  <c r="AC28" i="49"/>
  <c r="M28" i="49"/>
  <c r="AI20" i="49"/>
  <c r="M35" i="49"/>
  <c r="Q20" i="49"/>
  <c r="AI15" i="49"/>
  <c r="AC29" i="49"/>
  <c r="M29" i="49"/>
  <c r="S141" i="50"/>
  <c r="S119" i="50"/>
  <c r="S107" i="50"/>
  <c r="S112" i="50"/>
  <c r="S136" i="50"/>
  <c r="S148" i="50"/>
  <c r="AE125" i="50"/>
  <c r="AE33" i="49" s="1"/>
  <c r="AE137" i="50"/>
  <c r="AE115" i="50"/>
  <c r="AE144" i="50"/>
  <c r="AE149" i="50"/>
  <c r="AE127" i="50"/>
  <c r="AE35" i="49" s="1"/>
  <c r="AE154" i="50"/>
  <c r="AE156" i="50"/>
  <c r="AE108" i="50"/>
  <c r="AE120" i="50"/>
  <c r="AE124" i="50"/>
  <c r="AE121" i="50"/>
  <c r="AE150" i="50"/>
  <c r="AE153" i="50"/>
  <c r="O125" i="50"/>
  <c r="O108" i="50"/>
  <c r="O154" i="50"/>
  <c r="O115" i="50"/>
  <c r="O23" i="49" s="1"/>
  <c r="O156" i="50"/>
  <c r="O149" i="50"/>
  <c r="O127" i="50"/>
  <c r="O120" i="50"/>
  <c r="O144" i="50"/>
  <c r="O137" i="50"/>
  <c r="O124" i="50"/>
  <c r="O153" i="50"/>
  <c r="O121" i="50"/>
  <c r="O150" i="50"/>
  <c r="Q96" i="50"/>
  <c r="U95" i="50"/>
  <c r="AG96" i="50"/>
  <c r="AE32" i="49" l="1"/>
  <c r="AE16" i="49"/>
  <c r="S15" i="49"/>
  <c r="O35" i="49"/>
  <c r="S27" i="49"/>
  <c r="AE29" i="49"/>
  <c r="AE23" i="49"/>
  <c r="AE28" i="49"/>
  <c r="O29" i="49"/>
  <c r="O16" i="49"/>
  <c r="O33" i="49"/>
  <c r="O32" i="49"/>
  <c r="O28" i="49"/>
  <c r="S20" i="49"/>
  <c r="U107" i="50"/>
  <c r="U141" i="50"/>
  <c r="U112" i="50"/>
  <c r="U136" i="50"/>
  <c r="U119" i="50"/>
  <c r="U148" i="50"/>
  <c r="AG125" i="50"/>
  <c r="AG127" i="50"/>
  <c r="AG120" i="50"/>
  <c r="AG108" i="50"/>
  <c r="AG154" i="50"/>
  <c r="AG156" i="50"/>
  <c r="AG149" i="50"/>
  <c r="AG144" i="50"/>
  <c r="AG115" i="50"/>
  <c r="AG23" i="49" s="1"/>
  <c r="AG137" i="50"/>
  <c r="AG150" i="50"/>
  <c r="AG124" i="50"/>
  <c r="AG153" i="50"/>
  <c r="AG121" i="50"/>
  <c r="Q125" i="50"/>
  <c r="Q127" i="50"/>
  <c r="Q149" i="50"/>
  <c r="Q108" i="50"/>
  <c r="Q144" i="50"/>
  <c r="Q156" i="50"/>
  <c r="Q154" i="50"/>
  <c r="Q120" i="50"/>
  <c r="Q115" i="50"/>
  <c r="Q137" i="50"/>
  <c r="Q153" i="50"/>
  <c r="Q124" i="50"/>
  <c r="Q121" i="50"/>
  <c r="Q150" i="50"/>
  <c r="AI96" i="50"/>
  <c r="S96" i="50"/>
  <c r="AG16" i="49" l="1"/>
  <c r="U20" i="49"/>
  <c r="AG33" i="49"/>
  <c r="Q35" i="49"/>
  <c r="Q23" i="49"/>
  <c r="Q33" i="49"/>
  <c r="U27" i="49"/>
  <c r="Q28" i="49"/>
  <c r="AG29" i="49"/>
  <c r="AG32" i="49"/>
  <c r="Q29" i="49"/>
  <c r="AG28" i="49"/>
  <c r="U15" i="49"/>
  <c r="Q32" i="49"/>
  <c r="Q16" i="49"/>
  <c r="AG35" i="49"/>
  <c r="AI125" i="50"/>
  <c r="AI137" i="50"/>
  <c r="AI154" i="50"/>
  <c r="AI120" i="50"/>
  <c r="AI108" i="50"/>
  <c r="AI156" i="50"/>
  <c r="AI115" i="50"/>
  <c r="AI144" i="50"/>
  <c r="AI127" i="50"/>
  <c r="AI149" i="50"/>
  <c r="AI150" i="50"/>
  <c r="AI124" i="50"/>
  <c r="AI153" i="50"/>
  <c r="AI121" i="50"/>
  <c r="AI29" i="49" s="1"/>
  <c r="S125" i="50"/>
  <c r="S149" i="50"/>
  <c r="S115" i="50"/>
  <c r="S127" i="50"/>
  <c r="S108" i="50"/>
  <c r="S120" i="50"/>
  <c r="S156" i="50"/>
  <c r="S154" i="50"/>
  <c r="S144" i="50"/>
  <c r="S137" i="50"/>
  <c r="S121" i="50"/>
  <c r="S150" i="50"/>
  <c r="S153" i="50"/>
  <c r="S124" i="50"/>
  <c r="U96" i="50"/>
  <c r="S23" i="49" l="1"/>
  <c r="S32" i="49"/>
  <c r="AI16" i="49"/>
  <c r="S28" i="49"/>
  <c r="AI28" i="49"/>
  <c r="S16" i="49"/>
  <c r="S35" i="49"/>
  <c r="AI35" i="49"/>
  <c r="AI33" i="49"/>
  <c r="AI32" i="49"/>
  <c r="S29" i="49"/>
  <c r="S33" i="49"/>
  <c r="AI23" i="49"/>
  <c r="U125" i="50"/>
  <c r="U144" i="50"/>
  <c r="U154" i="50"/>
  <c r="U149" i="50"/>
  <c r="U137" i="50"/>
  <c r="U127" i="50"/>
  <c r="U120" i="50"/>
  <c r="U156" i="50"/>
  <c r="U108" i="50"/>
  <c r="U115" i="50"/>
  <c r="U124" i="50"/>
  <c r="U150" i="50"/>
  <c r="U121" i="50"/>
  <c r="U153" i="50"/>
  <c r="D84" i="50"/>
  <c r="D86" i="50"/>
  <c r="U23" i="49" l="1"/>
  <c r="U29" i="49"/>
  <c r="U28" i="49"/>
  <c r="U16" i="49"/>
  <c r="U35" i="49"/>
  <c r="U33" i="49"/>
  <c r="U32" i="49"/>
  <c r="H95" i="50"/>
  <c r="V95" i="50"/>
  <c r="H86" i="50"/>
  <c r="J86" i="50" s="1"/>
  <c r="X95" i="50" l="1"/>
  <c r="Z95" i="50" s="1"/>
  <c r="V112" i="50"/>
  <c r="V148" i="50"/>
  <c r="V136" i="50"/>
  <c r="V141" i="50"/>
  <c r="V107" i="50"/>
  <c r="V15" i="49" s="1"/>
  <c r="V119" i="50"/>
  <c r="V27" i="49" s="1"/>
  <c r="J95" i="50"/>
  <c r="H136" i="50"/>
  <c r="H119" i="50"/>
  <c r="H107" i="50"/>
  <c r="H141" i="50"/>
  <c r="H148" i="50"/>
  <c r="H112" i="50"/>
  <c r="H20" i="49" s="1"/>
  <c r="G86" i="50"/>
  <c r="I86" i="50" s="1"/>
  <c r="F84" i="50"/>
  <c r="H84" i="50" s="1"/>
  <c r="J84" i="50" s="1"/>
  <c r="H15" i="49" l="1"/>
  <c r="V20" i="49"/>
  <c r="H27" i="49"/>
  <c r="J148" i="50"/>
  <c r="J141" i="50"/>
  <c r="J136" i="50"/>
  <c r="J107" i="50"/>
  <c r="J15" i="49" s="1"/>
  <c r="J119" i="50"/>
  <c r="J112" i="50"/>
  <c r="Z107" i="50"/>
  <c r="Z136" i="50"/>
  <c r="Z119" i="50"/>
  <c r="Z112" i="50"/>
  <c r="Z141" i="50"/>
  <c r="Z148" i="50"/>
  <c r="L95" i="50"/>
  <c r="N95" i="50" s="1"/>
  <c r="X148" i="50"/>
  <c r="X136" i="50"/>
  <c r="X141" i="50"/>
  <c r="X112" i="50"/>
  <c r="X107" i="50"/>
  <c r="X15" i="49" s="1"/>
  <c r="X119" i="50"/>
  <c r="AB95" i="50"/>
  <c r="G84" i="50"/>
  <c r="I84" i="50" s="1"/>
  <c r="V96" i="50"/>
  <c r="J27" i="49" l="1"/>
  <c r="J20" i="49"/>
  <c r="Z20" i="49"/>
  <c r="X20" i="49"/>
  <c r="Z27" i="49"/>
  <c r="X27" i="49"/>
  <c r="Z15" i="49"/>
  <c r="N148" i="50"/>
  <c r="N136" i="50"/>
  <c r="N119" i="50"/>
  <c r="N107" i="50"/>
  <c r="N112" i="50"/>
  <c r="N141" i="50"/>
  <c r="L119" i="50"/>
  <c r="L141" i="50"/>
  <c r="L107" i="50"/>
  <c r="L148" i="50"/>
  <c r="L112" i="50"/>
  <c r="L136" i="50"/>
  <c r="V125" i="50"/>
  <c r="V115" i="50"/>
  <c r="V154" i="50"/>
  <c r="V156" i="50"/>
  <c r="V149" i="50"/>
  <c r="V137" i="50"/>
  <c r="V144" i="50"/>
  <c r="V120" i="50"/>
  <c r="V127" i="50"/>
  <c r="V108" i="50"/>
  <c r="V153" i="50"/>
  <c r="V124" i="50"/>
  <c r="V121" i="50"/>
  <c r="V150" i="50"/>
  <c r="AB112" i="50"/>
  <c r="AB148" i="50"/>
  <c r="AB136" i="50"/>
  <c r="AB119" i="50"/>
  <c r="AB141" i="50"/>
  <c r="AB107" i="50"/>
  <c r="AD95" i="50"/>
  <c r="H96" i="50"/>
  <c r="P95" i="50"/>
  <c r="X96" i="50"/>
  <c r="V32" i="49" l="1"/>
  <c r="AB20" i="49"/>
  <c r="L20" i="49"/>
  <c r="N27" i="49"/>
  <c r="V33" i="49"/>
  <c r="N20" i="49"/>
  <c r="V35" i="49"/>
  <c r="V28" i="49"/>
  <c r="N15" i="49"/>
  <c r="L15" i="49"/>
  <c r="V29" i="49"/>
  <c r="L27" i="49"/>
  <c r="AB15" i="49"/>
  <c r="AB27" i="49"/>
  <c r="V16" i="49"/>
  <c r="V23" i="49"/>
  <c r="P141" i="50"/>
  <c r="P148" i="50"/>
  <c r="P112" i="50"/>
  <c r="P136" i="50"/>
  <c r="P119" i="50"/>
  <c r="P107" i="50"/>
  <c r="AD107" i="50"/>
  <c r="AD112" i="50"/>
  <c r="AD148" i="50"/>
  <c r="AD119" i="50"/>
  <c r="AD27" i="49" s="1"/>
  <c r="AD136" i="50"/>
  <c r="AD141" i="50"/>
  <c r="X125" i="50"/>
  <c r="X156" i="50"/>
  <c r="X108" i="50"/>
  <c r="X154" i="50"/>
  <c r="X144" i="50"/>
  <c r="X127" i="50"/>
  <c r="X120" i="50"/>
  <c r="X115" i="50"/>
  <c r="X149" i="50"/>
  <c r="X137" i="50"/>
  <c r="X150" i="50"/>
  <c r="X153" i="50"/>
  <c r="X121" i="50"/>
  <c r="X124" i="50"/>
  <c r="AF95" i="50"/>
  <c r="H125" i="50"/>
  <c r="H127" i="50"/>
  <c r="H144" i="50"/>
  <c r="H156" i="50"/>
  <c r="H115" i="50"/>
  <c r="H149" i="50"/>
  <c r="H108" i="50"/>
  <c r="H137" i="50"/>
  <c r="H120" i="50"/>
  <c r="H154" i="50"/>
  <c r="H153" i="50"/>
  <c r="H124" i="50"/>
  <c r="H32" i="49" s="1"/>
  <c r="H150" i="50"/>
  <c r="H121" i="50"/>
  <c r="R95" i="50"/>
  <c r="Z96" i="50"/>
  <c r="D116" i="50"/>
  <c r="D24" i="49" s="1"/>
  <c r="J96" i="50"/>
  <c r="X32" i="49" l="1"/>
  <c r="X35" i="49"/>
  <c r="H29" i="49"/>
  <c r="X29" i="49"/>
  <c r="H23" i="49"/>
  <c r="X16" i="49"/>
  <c r="AD15" i="49"/>
  <c r="AD20" i="49"/>
  <c r="P15" i="49"/>
  <c r="H16" i="49"/>
  <c r="H35" i="49"/>
  <c r="P27" i="49"/>
  <c r="H28" i="49"/>
  <c r="H33" i="49"/>
  <c r="X23" i="49"/>
  <c r="X33" i="49"/>
  <c r="X28" i="49"/>
  <c r="P20" i="49"/>
  <c r="Z125" i="50"/>
  <c r="Z154" i="50"/>
  <c r="Z144" i="50"/>
  <c r="Z108" i="50"/>
  <c r="Z127" i="50"/>
  <c r="Z115" i="50"/>
  <c r="Z120" i="50"/>
  <c r="Z156" i="50"/>
  <c r="Z149" i="50"/>
  <c r="Z137" i="50"/>
  <c r="Z121" i="50"/>
  <c r="Z124" i="50"/>
  <c r="Z150" i="50"/>
  <c r="Z153" i="50"/>
  <c r="AF148" i="50"/>
  <c r="AF107" i="50"/>
  <c r="AF141" i="50"/>
  <c r="AF119" i="50"/>
  <c r="AF136" i="50"/>
  <c r="AF112" i="50"/>
  <c r="R148" i="50"/>
  <c r="R141" i="50"/>
  <c r="R136" i="50"/>
  <c r="R107" i="50"/>
  <c r="R112" i="50"/>
  <c r="R119" i="50"/>
  <c r="J125" i="50"/>
  <c r="J144" i="50"/>
  <c r="J149" i="50"/>
  <c r="J156" i="50"/>
  <c r="J127" i="50"/>
  <c r="J154" i="50"/>
  <c r="J137" i="50"/>
  <c r="J108" i="50"/>
  <c r="J115" i="50"/>
  <c r="J120" i="50"/>
  <c r="J124" i="50"/>
  <c r="J150" i="50"/>
  <c r="J153" i="50"/>
  <c r="J121" i="50"/>
  <c r="AH95" i="50"/>
  <c r="L96" i="50"/>
  <c r="T95" i="50"/>
  <c r="AB96" i="50"/>
  <c r="R20" i="49" l="1"/>
  <c r="J29" i="49"/>
  <c r="R15" i="49"/>
  <c r="AF15" i="49"/>
  <c r="J35" i="49"/>
  <c r="Z33" i="49"/>
  <c r="Z16" i="49"/>
  <c r="Z23" i="49"/>
  <c r="Z35" i="49"/>
  <c r="Z32" i="49"/>
  <c r="J32" i="49"/>
  <c r="J23" i="49"/>
  <c r="J33" i="49"/>
  <c r="Z29" i="49"/>
  <c r="Z28" i="49"/>
  <c r="J28" i="49"/>
  <c r="AF20" i="49"/>
  <c r="J16" i="49"/>
  <c r="R27" i="49"/>
  <c r="AF27" i="49"/>
  <c r="AB125" i="50"/>
  <c r="AB149" i="50"/>
  <c r="AB137" i="50"/>
  <c r="AB115" i="50"/>
  <c r="AB144" i="50"/>
  <c r="AB127" i="50"/>
  <c r="AB108" i="50"/>
  <c r="AB120" i="50"/>
  <c r="AB156" i="50"/>
  <c r="AB154" i="50"/>
  <c r="AB121" i="50"/>
  <c r="AB150" i="50"/>
  <c r="AB124" i="50"/>
  <c r="AB153" i="50"/>
  <c r="L125" i="50"/>
  <c r="L137" i="50"/>
  <c r="L149" i="50"/>
  <c r="L108" i="50"/>
  <c r="L144" i="50"/>
  <c r="L156" i="50"/>
  <c r="L154" i="50"/>
  <c r="L127" i="50"/>
  <c r="L120" i="50"/>
  <c r="L115" i="50"/>
  <c r="L150" i="50"/>
  <c r="L124" i="50"/>
  <c r="L121" i="50"/>
  <c r="L153" i="50"/>
  <c r="T112" i="50"/>
  <c r="T136" i="50"/>
  <c r="T119" i="50"/>
  <c r="T141" i="50"/>
  <c r="T148" i="50"/>
  <c r="T107" i="50"/>
  <c r="AH112" i="50"/>
  <c r="AH107" i="50"/>
  <c r="AH148" i="50"/>
  <c r="AH136" i="50"/>
  <c r="AH141" i="50"/>
  <c r="AH119" i="50"/>
  <c r="N96" i="50"/>
  <c r="AD96" i="50"/>
  <c r="L33" i="49" l="1"/>
  <c r="AH27" i="49"/>
  <c r="L29" i="49"/>
  <c r="T15" i="49"/>
  <c r="L16" i="49"/>
  <c r="AH20" i="49"/>
  <c r="AH15" i="49"/>
  <c r="AB23" i="49"/>
  <c r="AB28" i="49"/>
  <c r="T27" i="49"/>
  <c r="L28" i="49"/>
  <c r="AB16" i="49"/>
  <c r="AB29" i="49"/>
  <c r="L32" i="49"/>
  <c r="AB33" i="49"/>
  <c r="L23" i="49"/>
  <c r="L35" i="49"/>
  <c r="AB35" i="49"/>
  <c r="T20" i="49"/>
  <c r="AB32" i="49"/>
  <c r="AD125" i="50"/>
  <c r="AD127" i="50"/>
  <c r="AD144" i="50"/>
  <c r="AD154" i="50"/>
  <c r="AD137" i="50"/>
  <c r="AD149" i="50"/>
  <c r="AD156" i="50"/>
  <c r="AD120" i="50"/>
  <c r="AD115" i="50"/>
  <c r="AD108" i="50"/>
  <c r="AD121" i="50"/>
  <c r="AD150" i="50"/>
  <c r="AD153" i="50"/>
  <c r="AD124" i="50"/>
  <c r="N125" i="50"/>
  <c r="N149" i="50"/>
  <c r="N144" i="50"/>
  <c r="N137" i="50"/>
  <c r="N154" i="50"/>
  <c r="N115" i="50"/>
  <c r="N127" i="50"/>
  <c r="N120" i="50"/>
  <c r="N108" i="50"/>
  <c r="N156" i="50"/>
  <c r="N150" i="50"/>
  <c r="N153" i="50"/>
  <c r="N121" i="50"/>
  <c r="N124" i="50"/>
  <c r="N32" i="49" s="1"/>
  <c r="P96" i="50"/>
  <c r="AF96" i="50"/>
  <c r="AD28" i="49" l="1"/>
  <c r="AD32" i="49"/>
  <c r="N29" i="49"/>
  <c r="N23" i="49"/>
  <c r="AD16" i="49"/>
  <c r="AD35" i="49"/>
  <c r="AD23" i="49"/>
  <c r="AD33" i="49"/>
  <c r="N16" i="49"/>
  <c r="N28" i="49"/>
  <c r="AD29" i="49"/>
  <c r="N33" i="49"/>
  <c r="N35" i="49"/>
  <c r="P125" i="50"/>
  <c r="P137" i="50"/>
  <c r="P154" i="50"/>
  <c r="P127" i="50"/>
  <c r="P144" i="50"/>
  <c r="P156" i="50"/>
  <c r="P149" i="50"/>
  <c r="P115" i="50"/>
  <c r="P23" i="49" s="1"/>
  <c r="P120" i="50"/>
  <c r="P28" i="49" s="1"/>
  <c r="P108" i="50"/>
  <c r="P16" i="49" s="1"/>
  <c r="P124" i="50"/>
  <c r="P153" i="50"/>
  <c r="P150" i="50"/>
  <c r="P121" i="50"/>
  <c r="AF125" i="50"/>
  <c r="AF156" i="50"/>
  <c r="AF144" i="50"/>
  <c r="AF127" i="50"/>
  <c r="AF154" i="50"/>
  <c r="AF120" i="50"/>
  <c r="AF108" i="50"/>
  <c r="AF137" i="50"/>
  <c r="AF149" i="50"/>
  <c r="AF115" i="50"/>
  <c r="AF121" i="50"/>
  <c r="AF124" i="50"/>
  <c r="AF153" i="50"/>
  <c r="AF150" i="50"/>
  <c r="R96" i="50"/>
  <c r="AH96" i="50"/>
  <c r="P29" i="49" l="1"/>
  <c r="AF32" i="49"/>
  <c r="AF29" i="49"/>
  <c r="P33" i="49"/>
  <c r="AF33" i="49"/>
  <c r="AF23" i="49"/>
  <c r="AF28" i="49"/>
  <c r="P35" i="49"/>
  <c r="AF16" i="49"/>
  <c r="P32" i="49"/>
  <c r="AF35" i="49"/>
  <c r="R125" i="50"/>
  <c r="R137" i="50"/>
  <c r="R115" i="50"/>
  <c r="R149" i="50"/>
  <c r="R108" i="50"/>
  <c r="R127" i="50"/>
  <c r="R120" i="50"/>
  <c r="R154" i="50"/>
  <c r="R156" i="50"/>
  <c r="R144" i="50"/>
  <c r="R150" i="50"/>
  <c r="R124" i="50"/>
  <c r="R153" i="50"/>
  <c r="R121" i="50"/>
  <c r="AH125" i="50"/>
  <c r="AH137" i="50"/>
  <c r="AH127" i="50"/>
  <c r="AH108" i="50"/>
  <c r="AH16" i="49" s="1"/>
  <c r="AH149" i="50"/>
  <c r="AH120" i="50"/>
  <c r="AH28" i="49" s="1"/>
  <c r="AH115" i="50"/>
  <c r="AH154" i="50"/>
  <c r="AH144" i="50"/>
  <c r="AH156" i="50"/>
  <c r="AH150" i="50"/>
  <c r="AH153" i="50"/>
  <c r="AH124" i="50"/>
  <c r="AH121" i="50"/>
  <c r="T96" i="50"/>
  <c r="R33" i="49" l="1"/>
  <c r="AH35" i="49"/>
  <c r="R29" i="49"/>
  <c r="R32" i="49"/>
  <c r="AH33" i="49"/>
  <c r="R28" i="49"/>
  <c r="R35" i="49"/>
  <c r="AH23" i="49"/>
  <c r="R16" i="49"/>
  <c r="AH29" i="49"/>
  <c r="AH32" i="49"/>
  <c r="R23" i="49"/>
  <c r="T125" i="50"/>
  <c r="T154" i="50"/>
  <c r="T149" i="50"/>
  <c r="T137" i="50"/>
  <c r="T120" i="50"/>
  <c r="T28" i="49" s="1"/>
  <c r="T115" i="50"/>
  <c r="T108" i="50"/>
  <c r="T127" i="50"/>
  <c r="T156" i="50"/>
  <c r="T144" i="50"/>
  <c r="T153" i="50"/>
  <c r="T150" i="50"/>
  <c r="T124" i="50"/>
  <c r="T32" i="49" s="1"/>
  <c r="T121" i="50"/>
  <c r="T29" i="49" l="1"/>
  <c r="T16" i="49"/>
  <c r="T33" i="49"/>
  <c r="T23" i="49"/>
  <c r="T35" i="4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H41024\Documents\My Data Sources\192.168.20.249 GA_DCH GA_CENSUS.odc" keepAlive="1" name="192.168.20.249 GA_DCH GA_CENSUS" type="5" refreshedVersion="4" background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2" xr16:uid="{00000000-0015-0000-FFFF-FFFF01000000}" odcFile="C:\Users\AH52025\Documents\My Data Sources\192.168.20.249 GA_DCH GA_CENSUS.odc" keepAlive="1" name="192.168.20.249 GA_DCH GA_CENSUS1" type="5" refreshedVersion="4" background="1" saveData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3" xr16:uid="{00000000-0015-0000-FFFF-FFFF02000000}" odcFile="C:\Users\AH52025\Documents\My Data Sources\192.168.20.249 GA_DCH GA_CLAIMS.odc" keepAlive="1" name="192.168.20.249 GA_DCH GA_CLAIMS" type="5" refreshedVersion="4" background="1" saveData="1">
    <dbPr connection="Provider=MSOLAP.4;Persist Security Info=True;User ID=aon\kwolf;Initial Catalog=GA_DCH;Data Source=192.168.20.249;MDX Compatibility=1;Safety Options=2;MDX Missing Member Mode=Error" command="GA_CLAIMS" commandType="1"/>
    <olapPr sendLocale="1" rowDrillCount="1000"/>
  </connection>
</connections>
</file>

<file path=xl/sharedStrings.xml><?xml version="1.0" encoding="utf-8"?>
<sst xmlns="http://schemas.openxmlformats.org/spreadsheetml/2006/main" count="922" uniqueCount="134">
  <si>
    <t>Employee Plus Children</t>
  </si>
  <si>
    <t>Family</t>
  </si>
  <si>
    <t>Employee Plus Spouse</t>
  </si>
  <si>
    <t>Single</t>
  </si>
  <si>
    <t>UHC</t>
  </si>
  <si>
    <t>Plan</t>
  </si>
  <si>
    <t>Gold Plan</t>
  </si>
  <si>
    <t>Silver Plan</t>
  </si>
  <si>
    <t>Bronze Plan</t>
  </si>
  <si>
    <t>Kaiser</t>
  </si>
  <si>
    <t>Bronze</t>
  </si>
  <si>
    <t>Defined Contribution with Bronze Rates</t>
  </si>
  <si>
    <t>MA Standard</t>
  </si>
  <si>
    <t>MA Premium</t>
  </si>
  <si>
    <t>MA Std-Part B</t>
  </si>
  <si>
    <t>MA Prem-Part B</t>
  </si>
  <si>
    <t>Retiree</t>
  </si>
  <si>
    <t>BCBS HMO</t>
  </si>
  <si>
    <t>UHC HMO</t>
  </si>
  <si>
    <t>UHC HDHP</t>
  </si>
  <si>
    <t>Kaiser HMO</t>
  </si>
  <si>
    <t>Plan Year</t>
  </si>
  <si>
    <t>UHC HMO/UHC MA</t>
  </si>
  <si>
    <t>UHC HDHP/UHC MA</t>
  </si>
  <si>
    <t>Kaiser HMO/UHC MA</t>
  </si>
  <si>
    <t>Retirees</t>
  </si>
  <si>
    <t>Retiree &amp; Spouse</t>
  </si>
  <si>
    <t>B1</t>
  </si>
  <si>
    <t>B2</t>
  </si>
  <si>
    <t>B3</t>
  </si>
  <si>
    <t>B6</t>
  </si>
  <si>
    <t>K1</t>
  </si>
  <si>
    <t>H1</t>
  </si>
  <si>
    <t>H2</t>
  </si>
  <si>
    <t>H3</t>
  </si>
  <si>
    <t>H4</t>
  </si>
  <si>
    <t>ID</t>
  </si>
  <si>
    <t>Col</t>
  </si>
  <si>
    <t>MA STD</t>
  </si>
  <si>
    <t>Rates</t>
  </si>
  <si>
    <t>Subsidized</t>
  </si>
  <si>
    <t>Spouses</t>
  </si>
  <si>
    <t>Children in EE+C</t>
  </si>
  <si>
    <t>Monthly Rates</t>
  </si>
  <si>
    <t xml:space="preserve">Note: </t>
  </si>
  <si>
    <t>If Retiree or Spouse are over 65 and not in MA plan, the members pay for the full costs of the coverage for the whole family</t>
  </si>
  <si>
    <t>The members in MA plans pay the subsidized MA rates</t>
  </si>
  <si>
    <t>Premium Equivalents - Monthly</t>
  </si>
  <si>
    <t>UHC MA Standard</t>
  </si>
  <si>
    <t>UHC MA Premium</t>
  </si>
  <si>
    <t>Vendor</t>
  </si>
  <si>
    <t>UHC MA Plans</t>
  </si>
  <si>
    <t>MA PREM</t>
  </si>
  <si>
    <t>GF-Retirees and Survivors</t>
  </si>
  <si>
    <t>Dependents</t>
  </si>
  <si>
    <t xml:space="preserve">Serivce Based- Retirees and Survivors </t>
  </si>
  <si>
    <t xml:space="preserve">Contribution% </t>
  </si>
  <si>
    <t>Selected YSVC</t>
  </si>
  <si>
    <t>Premiums</t>
  </si>
  <si>
    <t>Contributions</t>
  </si>
  <si>
    <t>&lt;= this only applies to retiree with less than 5 year of servcie as of 1/1/2012</t>
  </si>
  <si>
    <t>Retiree Subsidy is capped at the active rates</t>
  </si>
  <si>
    <t>Dependent Subsidy is capped at the active % -20%</t>
  </si>
  <si>
    <t>Dependent Subsidy Cap for Based Plan</t>
  </si>
  <si>
    <t>UHC STD</t>
  </si>
  <si>
    <t>UHC PREM</t>
  </si>
  <si>
    <t>Lowest MA STD</t>
  </si>
  <si>
    <t>Lowest MA PREM</t>
  </si>
  <si>
    <t>SP</t>
  </si>
  <si>
    <t>Chil</t>
  </si>
  <si>
    <t>Contribution Floor</t>
  </si>
  <si>
    <t>% only apply to the base plans; retirees pay the full costs to buy up and down</t>
  </si>
  <si>
    <t>B8</t>
  </si>
  <si>
    <t>B7</t>
  </si>
  <si>
    <t>GF</t>
  </si>
  <si>
    <t>0-9</t>
  </si>
  <si>
    <t>* Drop-down box for the "Retiree Rate Calculator" tab</t>
  </si>
  <si>
    <t>Years of Service at Retirement</t>
  </si>
  <si>
    <t>Eligibility</t>
  </si>
  <si>
    <t>Retirees Coverage Tier</t>
  </si>
  <si>
    <t>Board of Community Health State Health Benefit Plan</t>
  </si>
  <si>
    <t>Retiree Only</t>
  </si>
  <si>
    <t>Retiree &amp; Child(ren) - Child(ren) with Part B</t>
  </si>
  <si>
    <t>Retiree &amp; Child(ren) - Child(ren) without Part B</t>
  </si>
  <si>
    <t>Family - child(ren) - Child(ren) with Part B</t>
  </si>
  <si>
    <t>Family - child(ren) - Child(ren) without Part B</t>
  </si>
  <si>
    <t>Medicare Advantage Monthly Retiree Contributions</t>
  </si>
  <si>
    <t>Annuitant Years of Service Subsidy Policy</t>
  </si>
  <si>
    <t>Retiree with Part B</t>
  </si>
  <si>
    <t>Retiree with Part B and Spouse&lt;65 without Part B</t>
  </si>
  <si>
    <t>Retiree &lt;65 without Part B and Spouse with Part B</t>
  </si>
  <si>
    <t>Retiree &amp; Spouse both with Part B</t>
  </si>
  <si>
    <t>Retiree with Part B and Child(ren) without Part B</t>
  </si>
  <si>
    <t>Retiree &lt;65 without Part B and Child(ren) with Part B</t>
  </si>
  <si>
    <t>Retiree with Part B and Child(ren) with Part B</t>
  </si>
  <si>
    <t>Retiree with Part B, Spouse &lt;65 without Part B, and Child(ren) without Part B</t>
  </si>
  <si>
    <t>Retiree &lt;65 without Part B, Spouse with Part B, and Child(ren) without Part B</t>
  </si>
  <si>
    <t>Retiree &amp; Spouse both with Part B, and Child(ren) without Part B</t>
  </si>
  <si>
    <t>Retiree with Part B, Spouse &lt;65 without Part B, and Child(ren) with Part B</t>
  </si>
  <si>
    <t>Retiree &lt;65 without Part B, Spouse with Part B, and Child(ren) with Part B</t>
  </si>
  <si>
    <t>Retiree &amp; Spouse both with Part B, and Child(ren) with Part B</t>
  </si>
  <si>
    <t>Retiree &amp; Spouse both &lt;65 w/o Part B, and Childr(ren) with Part B</t>
  </si>
  <si>
    <t>Anthem Gold/UHC MA</t>
  </si>
  <si>
    <t>Anthem Silver/UHC MA</t>
  </si>
  <si>
    <t>Anthem Bronze/UHC MA</t>
  </si>
  <si>
    <t>Anthem HMO/UHC MA</t>
  </si>
  <si>
    <t>Next Time, link everything to the final ADP file for both the Calc tab and the ADP Rule tab.</t>
  </si>
  <si>
    <t>Anthem</t>
  </si>
  <si>
    <t>Monthly Contribution Active</t>
  </si>
  <si>
    <t>Anthem MA Plans</t>
  </si>
  <si>
    <t>Anthem Gold/Anthem MA</t>
  </si>
  <si>
    <t>Anthem Silver/Anthem MA</t>
  </si>
  <si>
    <t>Anthem Bronze/Anthem MA</t>
  </si>
  <si>
    <t>Anthem HMO/Anthem MA</t>
  </si>
  <si>
    <t>UHC HMO/Anthem MA</t>
  </si>
  <si>
    <t>UHC HDHP/Anthem MA</t>
  </si>
  <si>
    <t>Kaiser HMO/Anthem MA</t>
  </si>
  <si>
    <t/>
  </si>
  <si>
    <t>Retiree&lt;65</t>
  </si>
  <si>
    <t>Children</t>
  </si>
  <si>
    <t>Full Cost</t>
  </si>
  <si>
    <t>Children-Split Family</t>
  </si>
  <si>
    <t>MA- Ret</t>
  </si>
  <si>
    <t>MA- Sp or Ch</t>
  </si>
  <si>
    <t>Spouses-DeMedical</t>
  </si>
  <si>
    <t>Spouses-w Retiree</t>
  </si>
  <si>
    <t>Spouse&lt;65 (Ret&amp;Sp in Same Plan)</t>
  </si>
  <si>
    <t>Spouse&lt;65 (Ret&amp;Sp different Plan)</t>
  </si>
  <si>
    <t>&lt;= Sp full cost is different if covered with and without Ret</t>
  </si>
  <si>
    <t>Full-Pre65</t>
  </si>
  <si>
    <t>* Full-Pre-65 rates here are only used to calculate subsidized rates</t>
  </si>
  <si>
    <t>THe base plans are Bronze, Kaiser HMO and Lowest MA STD</t>
  </si>
  <si>
    <t>MA Full Premium</t>
  </si>
  <si>
    <t>Survivor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</si>
</sst>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#,##0_);[Red]\(#,##0\);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0000CC"/>
      <name val="Arial"/>
      <family val="2"/>
    </font>
    <font>
      <sz val="10"/>
      <color rgb="FF0000FF"/>
      <name val="Arial"/>
      <family val="2"/>
    </font>
    <font>
      <i/>
      <sz val="10"/>
      <color indexed="12"/>
      <name val="Times New Roman"/>
      <family val="1"/>
    </font>
    <font>
      <sz val="10"/>
      <name val="Times New Roman"/>
      <family val="1"/>
    </font>
    <font>
      <b/>
      <sz val="11"/>
      <color indexed="12"/>
      <name val="Arial"/>
      <family val="2"/>
    </font>
    <font>
      <b/>
      <sz val="12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1F497D"/>
      <name val="Arial"/>
      <family val="2"/>
    </font>
    <font>
      <b/>
      <sz val="10"/>
      <color rgb="FF0000FF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theme="4" tint="0.7999816888943144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1" applyNumberFormat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" fillId="24" borderId="7" applyNumberFormat="0" applyFont="0" applyAlignment="0" applyProtection="0"/>
    <xf numFmtId="0" fontId="16" fillId="21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/>
    <xf numFmtId="4" fontId="29" fillId="31" borderId="16" applyNumberFormat="0" applyFont="0" applyBorder="0" applyAlignment="0">
      <protection locked="0"/>
    </xf>
    <xf numFmtId="167" fontId="30" fillId="0" borderId="0" applyNumberFormat="0" applyFont="0" applyBorder="0" applyAlignment="0"/>
    <xf numFmtId="0" fontId="31" fillId="0" borderId="0">
      <alignment horizontal="left" vertical="center" indent="1"/>
    </xf>
    <xf numFmtId="0" fontId="30" fillId="32" borderId="0" applyNumberFormat="0" applyFont="0" applyBorder="0" applyAlignment="0"/>
    <xf numFmtId="0" fontId="30" fillId="32" borderId="0" applyNumberFormat="0" applyFont="0" applyBorder="0" applyAlignment="0"/>
    <xf numFmtId="0" fontId="30" fillId="33" borderId="16" applyNumberFormat="0" applyFont="0" applyBorder="0" applyAlignment="0">
      <alignment horizontal="center"/>
    </xf>
    <xf numFmtId="4" fontId="30" fillId="34" borderId="16" applyNumberFormat="0" applyFont="0" applyBorder="0" applyAlignment="0">
      <protection locked="0"/>
    </xf>
  </cellStyleXfs>
  <cellXfs count="200">
    <xf numFmtId="0" fontId="0" fillId="0" borderId="0" xfId="0"/>
    <xf numFmtId="0" fontId="25" fillId="28" borderId="0" xfId="56" applyFont="1" applyFill="1"/>
    <xf numFmtId="0" fontId="21" fillId="0" borderId="0" xfId="0" applyFont="1" applyAlignment="1">
      <alignment horizontal="center"/>
    </xf>
    <xf numFmtId="0" fontId="21" fillId="0" borderId="0" xfId="0" applyFont="1"/>
    <xf numFmtId="0" fontId="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0" fillId="30" borderId="0" xfId="1" applyFont="1" applyFill="1"/>
    <xf numFmtId="0" fontId="1" fillId="30" borderId="0" xfId="1" applyFill="1"/>
    <xf numFmtId="0" fontId="20" fillId="30" borderId="0" xfId="1" applyFont="1" applyFill="1" applyAlignment="1">
      <alignment horizontal="right"/>
    </xf>
    <xf numFmtId="0" fontId="22" fillId="30" borderId="0" xfId="1" applyFont="1" applyFill="1" applyProtection="1">
      <protection locked="0"/>
    </xf>
    <xf numFmtId="0" fontId="1" fillId="30" borderId="13" xfId="1" applyFill="1" applyBorder="1"/>
    <xf numFmtId="0" fontId="1" fillId="30" borderId="15" xfId="1" applyFill="1" applyBorder="1"/>
    <xf numFmtId="49" fontId="1" fillId="30" borderId="15" xfId="1" applyNumberFormat="1" applyFill="1" applyBorder="1"/>
    <xf numFmtId="0" fontId="1" fillId="30" borderId="18" xfId="1" applyFill="1" applyBorder="1"/>
    <xf numFmtId="0" fontId="1" fillId="30" borderId="0" xfId="1" applyFill="1" applyAlignment="1">
      <alignment horizontal="center"/>
    </xf>
    <xf numFmtId="0" fontId="20" fillId="30" borderId="26" xfId="1" applyFont="1" applyFill="1" applyBorder="1" applyAlignment="1">
      <alignment horizontal="centerContinuous"/>
    </xf>
    <xf numFmtId="0" fontId="20" fillId="30" borderId="30" xfId="1" applyFont="1" applyFill="1" applyBorder="1" applyAlignment="1">
      <alignment horizontal="centerContinuous"/>
    </xf>
    <xf numFmtId="0" fontId="20" fillId="30" borderId="45" xfId="1" applyFont="1" applyFill="1" applyBorder="1" applyAlignment="1">
      <alignment horizontal="centerContinuous"/>
    </xf>
    <xf numFmtId="0" fontId="20" fillId="30" borderId="27" xfId="1" applyFont="1" applyFill="1" applyBorder="1" applyAlignment="1">
      <alignment horizontal="centerContinuous"/>
    </xf>
    <xf numFmtId="164" fontId="23" fillId="30" borderId="28" xfId="1" applyNumberFormat="1" applyFont="1" applyFill="1" applyBorder="1" applyAlignment="1">
      <alignment horizontal="center" wrapText="1"/>
    </xf>
    <xf numFmtId="164" fontId="23" fillId="30" borderId="31" xfId="1" applyNumberFormat="1" applyFont="1" applyFill="1" applyBorder="1" applyAlignment="1">
      <alignment horizontal="center" wrapText="1"/>
    </xf>
    <xf numFmtId="164" fontId="23" fillId="30" borderId="21" xfId="1" applyNumberFormat="1" applyFont="1" applyFill="1" applyBorder="1" applyAlignment="1">
      <alignment horizontal="center" wrapText="1"/>
    </xf>
    <xf numFmtId="164" fontId="23" fillId="30" borderId="51" xfId="1" applyNumberFormat="1" applyFont="1" applyFill="1" applyBorder="1" applyAlignment="1">
      <alignment horizontal="center" wrapText="1"/>
    </xf>
    <xf numFmtId="164" fontId="23" fillId="30" borderId="38" xfId="1" applyNumberFormat="1" applyFont="1" applyFill="1" applyBorder="1" applyAlignment="1">
      <alignment horizontal="center" wrapText="1"/>
    </xf>
    <xf numFmtId="164" fontId="23" fillId="30" borderId="29" xfId="1" applyNumberFormat="1" applyFont="1" applyFill="1" applyBorder="1" applyAlignment="1">
      <alignment horizontal="center" wrapText="1"/>
    </xf>
    <xf numFmtId="0" fontId="22" fillId="30" borderId="10" xfId="1" applyFont="1" applyFill="1" applyBorder="1"/>
    <xf numFmtId="0" fontId="22" fillId="30" borderId="23" xfId="1" applyFont="1" applyFill="1" applyBorder="1"/>
    <xf numFmtId="0" fontId="22" fillId="30" borderId="11" xfId="1" applyFont="1" applyFill="1" applyBorder="1"/>
    <xf numFmtId="0" fontId="24" fillId="30" borderId="0" xfId="1" applyFont="1" applyFill="1"/>
    <xf numFmtId="0" fontId="1" fillId="30" borderId="20" xfId="1" applyFill="1" applyBorder="1"/>
    <xf numFmtId="0" fontId="32" fillId="30" borderId="0" xfId="0" applyFont="1" applyFill="1" applyProtection="1">
      <protection hidden="1"/>
    </xf>
    <xf numFmtId="0" fontId="20" fillId="30" borderId="0" xfId="0" applyFont="1" applyFill="1" applyProtection="1">
      <protection hidden="1"/>
    </xf>
    <xf numFmtId="49" fontId="33" fillId="35" borderId="11" xfId="1" applyNumberFormat="1" applyFont="1" applyFill="1" applyBorder="1"/>
    <xf numFmtId="164" fontId="34" fillId="35" borderId="50" xfId="1" applyNumberFormat="1" applyFont="1" applyFill="1" applyBorder="1"/>
    <xf numFmtId="164" fontId="34" fillId="35" borderId="32" xfId="1" applyNumberFormat="1" applyFont="1" applyFill="1" applyBorder="1"/>
    <xf numFmtId="164" fontId="34" fillId="35" borderId="53" xfId="1" applyNumberFormat="1" applyFont="1" applyFill="1" applyBorder="1"/>
    <xf numFmtId="164" fontId="34" fillId="35" borderId="49" xfId="1" applyNumberFormat="1" applyFont="1" applyFill="1" applyBorder="1"/>
    <xf numFmtId="164" fontId="34" fillId="35" borderId="14" xfId="1" applyNumberFormat="1" applyFont="1" applyFill="1" applyBorder="1"/>
    <xf numFmtId="49" fontId="33" fillId="35" borderId="15" xfId="1" applyNumberFormat="1" applyFont="1" applyFill="1" applyBorder="1"/>
    <xf numFmtId="0" fontId="35" fillId="30" borderId="0" xfId="0" applyFont="1" applyFill="1" applyProtection="1">
      <protection hidden="1"/>
    </xf>
    <xf numFmtId="0" fontId="22" fillId="30" borderId="12" xfId="1" applyFont="1" applyFill="1" applyBorder="1"/>
    <xf numFmtId="0" fontId="22" fillId="30" borderId="20" xfId="1" applyFont="1" applyFill="1" applyBorder="1"/>
    <xf numFmtId="49" fontId="33" fillId="35" borderId="12" xfId="1" applyNumberFormat="1" applyFont="1" applyFill="1" applyBorder="1"/>
    <xf numFmtId="49" fontId="33" fillId="35" borderId="0" xfId="1" applyNumberFormat="1" applyFont="1" applyFill="1"/>
    <xf numFmtId="49" fontId="1" fillId="30" borderId="0" xfId="1" applyNumberFormat="1" applyFill="1"/>
    <xf numFmtId="0" fontId="1" fillId="30" borderId="19" xfId="1" applyFill="1" applyBorder="1"/>
    <xf numFmtId="7" fontId="1" fillId="30" borderId="0" xfId="1" applyNumberFormat="1" applyFill="1"/>
    <xf numFmtId="49" fontId="33" fillId="35" borderId="10" xfId="1" applyNumberFormat="1" applyFont="1" applyFill="1" applyBorder="1"/>
    <xf numFmtId="49" fontId="33" fillId="35" borderId="13" xfId="1" applyNumberFormat="1" applyFont="1" applyFill="1" applyBorder="1"/>
    <xf numFmtId="49" fontId="1" fillId="30" borderId="13" xfId="1" applyNumberFormat="1" applyFill="1" applyBorder="1"/>
    <xf numFmtId="0" fontId="22" fillId="30" borderId="19" xfId="1" applyFont="1" applyFill="1" applyBorder="1"/>
    <xf numFmtId="0" fontId="1" fillId="0" borderId="0" xfId="1" applyAlignment="1">
      <alignment horizontal="center"/>
    </xf>
    <xf numFmtId="164" fontId="1" fillId="0" borderId="25" xfId="2" applyNumberFormat="1" applyFont="1" applyFill="1" applyBorder="1" applyAlignment="1">
      <alignment horizontal="center"/>
    </xf>
    <xf numFmtId="164" fontId="1" fillId="0" borderId="17" xfId="2" applyNumberFormat="1" applyFont="1" applyFill="1" applyBorder="1" applyAlignment="1">
      <alignment horizontal="center"/>
    </xf>
    <xf numFmtId="164" fontId="1" fillId="0" borderId="55" xfId="2" applyNumberFormat="1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36" fillId="2" borderId="0" xfId="0" applyFont="1" applyFill="1"/>
    <xf numFmtId="0" fontId="26" fillId="0" borderId="0" xfId="0" applyFont="1"/>
    <xf numFmtId="0" fontId="37" fillId="25" borderId="24" xfId="0" applyFont="1" applyFill="1" applyBorder="1" applyAlignment="1">
      <alignment wrapText="1"/>
    </xf>
    <xf numFmtId="44" fontId="21" fillId="0" borderId="0" xfId="54" applyFont="1"/>
    <xf numFmtId="165" fontId="21" fillId="0" borderId="0" xfId="0" applyNumberFormat="1" applyFont="1"/>
    <xf numFmtId="164" fontId="21" fillId="0" borderId="0" xfId="0" applyNumberFormat="1" applyFont="1"/>
    <xf numFmtId="0" fontId="37" fillId="27" borderId="24" xfId="0" applyFont="1" applyFill="1" applyBorder="1" applyAlignment="1">
      <alignment horizontal="center" wrapText="1"/>
    </xf>
    <xf numFmtId="7" fontId="21" fillId="0" borderId="0" xfId="0" applyNumberFormat="1" applyFont="1"/>
    <xf numFmtId="0" fontId="21" fillId="0" borderId="25" xfId="56" applyBorder="1"/>
    <xf numFmtId="0" fontId="3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7" fontId="1" fillId="0" borderId="0" xfId="0" applyNumberFormat="1" applyFont="1" applyAlignment="1">
      <alignment horizontal="left"/>
    </xf>
    <xf numFmtId="0" fontId="37" fillId="0" borderId="0" xfId="56" applyFont="1"/>
    <xf numFmtId="0" fontId="39" fillId="2" borderId="0" xfId="0" applyFont="1" applyFill="1" applyAlignment="1">
      <alignment horizontal="center"/>
    </xf>
    <xf numFmtId="0" fontId="37" fillId="0" borderId="39" xfId="56" applyFont="1" applyBorder="1"/>
    <xf numFmtId="0" fontId="21" fillId="0" borderId="46" xfId="0" applyFont="1" applyBorder="1" applyAlignment="1">
      <alignment horizontal="center"/>
    </xf>
    <xf numFmtId="0" fontId="37" fillId="0" borderId="40" xfId="0" applyFont="1" applyBorder="1" applyAlignment="1">
      <alignment horizontal="centerContinuous"/>
    </xf>
    <xf numFmtId="0" fontId="37" fillId="0" borderId="39" xfId="0" applyFont="1" applyBorder="1" applyAlignment="1">
      <alignment horizontal="centerContinuous"/>
    </xf>
    <xf numFmtId="0" fontId="37" fillId="0" borderId="46" xfId="0" applyFont="1" applyBorder="1" applyAlignment="1">
      <alignment horizontal="centerContinuous"/>
    </xf>
    <xf numFmtId="0" fontId="21" fillId="0" borderId="17" xfId="0" applyFont="1" applyBorder="1" applyAlignment="1">
      <alignment horizontal="center"/>
    </xf>
    <xf numFmtId="0" fontId="21" fillId="0" borderId="16" xfId="56" applyBorder="1"/>
    <xf numFmtId="0" fontId="37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0" xfId="56" applyAlignment="1">
      <alignment horizontal="center"/>
    </xf>
    <xf numFmtId="0" fontId="21" fillId="0" borderId="16" xfId="0" applyFont="1" applyBorder="1"/>
    <xf numFmtId="7" fontId="21" fillId="0" borderId="16" xfId="0" applyNumberFormat="1" applyFont="1" applyBorder="1" applyAlignment="1">
      <alignment horizontal="center"/>
    </xf>
    <xf numFmtId="7" fontId="21" fillId="0" borderId="0" xfId="0" applyNumberFormat="1" applyFont="1" applyAlignment="1">
      <alignment horizontal="center"/>
    </xf>
    <xf numFmtId="7" fontId="21" fillId="0" borderId="17" xfId="0" applyNumberFormat="1" applyFont="1" applyBorder="1" applyAlignment="1">
      <alignment horizontal="center"/>
    </xf>
    <xf numFmtId="0" fontId="1" fillId="2" borderId="16" xfId="56" applyFont="1" applyFill="1" applyBorder="1"/>
    <xf numFmtId="7" fontId="21" fillId="0" borderId="37" xfId="0" applyNumberFormat="1" applyFont="1" applyBorder="1" applyAlignment="1">
      <alignment horizontal="center"/>
    </xf>
    <xf numFmtId="7" fontId="21" fillId="0" borderId="41" xfId="0" applyNumberFormat="1" applyFont="1" applyBorder="1" applyAlignment="1">
      <alignment horizontal="center"/>
    </xf>
    <xf numFmtId="7" fontId="21" fillId="0" borderId="47" xfId="0" applyNumberFormat="1" applyFont="1" applyBorder="1" applyAlignment="1">
      <alignment horizontal="center"/>
    </xf>
    <xf numFmtId="0" fontId="21" fillId="0" borderId="37" xfId="56" applyBorder="1"/>
    <xf numFmtId="0" fontId="21" fillId="0" borderId="47" xfId="0" applyFont="1" applyBorder="1" applyAlignment="1">
      <alignment horizontal="center"/>
    </xf>
    <xf numFmtId="0" fontId="34" fillId="28" borderId="0" xfId="0" applyFont="1" applyFill="1" applyAlignment="1">
      <alignment horizontal="center"/>
    </xf>
    <xf numFmtId="0" fontId="34" fillId="28" borderId="0" xfId="0" applyFont="1" applyFill="1"/>
    <xf numFmtId="0" fontId="21" fillId="26" borderId="0" xfId="0" applyFont="1" applyFill="1"/>
    <xf numFmtId="0" fontId="37" fillId="0" borderId="0" xfId="0" applyFont="1" applyAlignment="1">
      <alignment horizontal="center"/>
    </xf>
    <xf numFmtId="0" fontId="21" fillId="26" borderId="0" xfId="0" applyFont="1" applyFill="1" applyAlignment="1">
      <alignment horizontal="center"/>
    </xf>
    <xf numFmtId="0" fontId="37" fillId="2" borderId="0" xfId="56" applyFont="1" applyFill="1" applyAlignment="1">
      <alignment horizontal="center"/>
    </xf>
    <xf numFmtId="10" fontId="21" fillId="0" borderId="0" xfId="0" applyNumberFormat="1" applyFont="1" applyAlignment="1">
      <alignment horizontal="center"/>
    </xf>
    <xf numFmtId="9" fontId="21" fillId="0" borderId="0" xfId="0" applyNumberFormat="1" applyFont="1" applyAlignment="1">
      <alignment horizontal="center"/>
    </xf>
    <xf numFmtId="166" fontId="21" fillId="0" borderId="0" xfId="55" applyNumberFormat="1" applyFont="1" applyFill="1" applyAlignment="1">
      <alignment horizontal="center"/>
    </xf>
    <xf numFmtId="0" fontId="37" fillId="0" borderId="0" xfId="0" applyFont="1" applyAlignment="1">
      <alignment horizontal="centerContinuous"/>
    </xf>
    <xf numFmtId="0" fontId="21" fillId="0" borderId="42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7" fontId="21" fillId="0" borderId="39" xfId="0" applyNumberFormat="1" applyFont="1" applyBorder="1" applyAlignment="1">
      <alignment horizontal="center"/>
    </xf>
    <xf numFmtId="7" fontId="21" fillId="0" borderId="40" xfId="0" applyNumberFormat="1" applyFont="1" applyBorder="1" applyAlignment="1">
      <alignment horizontal="center"/>
    </xf>
    <xf numFmtId="7" fontId="26" fillId="0" borderId="0" xfId="0" applyNumberFormat="1" applyFont="1" applyAlignment="1">
      <alignment horizontal="center"/>
    </xf>
    <xf numFmtId="0" fontId="21" fillId="2" borderId="16" xfId="0" applyFont="1" applyFill="1" applyBorder="1"/>
    <xf numFmtId="0" fontId="37" fillId="0" borderId="16" xfId="0" applyFont="1" applyBorder="1"/>
    <xf numFmtId="7" fontId="37" fillId="29" borderId="16" xfId="0" applyNumberFormat="1" applyFont="1" applyFill="1" applyBorder="1" applyAlignment="1">
      <alignment horizontal="center"/>
    </xf>
    <xf numFmtId="7" fontId="36" fillId="29" borderId="0" xfId="0" applyNumberFormat="1" applyFont="1" applyFill="1" applyAlignment="1">
      <alignment horizontal="center"/>
    </xf>
    <xf numFmtId="7" fontId="36" fillId="29" borderId="16" xfId="0" applyNumberFormat="1" applyFont="1" applyFill="1" applyBorder="1" applyAlignment="1">
      <alignment horizontal="center"/>
    </xf>
    <xf numFmtId="7" fontId="37" fillId="0" borderId="0" xfId="0" applyNumberFormat="1" applyFont="1" applyAlignment="1">
      <alignment horizontal="center"/>
    </xf>
    <xf numFmtId="7" fontId="36" fillId="0" borderId="0" xfId="0" applyNumberFormat="1" applyFont="1" applyAlignment="1">
      <alignment horizontal="center"/>
    </xf>
    <xf numFmtId="0" fontId="37" fillId="0" borderId="37" xfId="56" applyFont="1" applyBorder="1"/>
    <xf numFmtId="0" fontId="37" fillId="0" borderId="41" xfId="0" applyFont="1" applyBorder="1" applyAlignment="1">
      <alignment horizontal="center"/>
    </xf>
    <xf numFmtId="7" fontId="36" fillId="29" borderId="37" xfId="0" applyNumberFormat="1" applyFont="1" applyFill="1" applyBorder="1" applyAlignment="1">
      <alignment horizontal="center"/>
    </xf>
    <xf numFmtId="164" fontId="1" fillId="30" borderId="56" xfId="1" applyNumberFormat="1" applyFill="1" applyBorder="1" applyAlignment="1">
      <alignment horizontal="center" wrapText="1"/>
    </xf>
    <xf numFmtId="164" fontId="1" fillId="30" borderId="31" xfId="1" applyNumberFormat="1" applyFill="1" applyBorder="1" applyAlignment="1">
      <alignment horizontal="center" wrapText="1"/>
    </xf>
    <xf numFmtId="164" fontId="1" fillId="30" borderId="21" xfId="1" applyNumberFormat="1" applyFill="1" applyBorder="1" applyAlignment="1">
      <alignment horizontal="center" wrapText="1"/>
    </xf>
    <xf numFmtId="164" fontId="1" fillId="30" borderId="51" xfId="1" applyNumberFormat="1" applyFill="1" applyBorder="1" applyAlignment="1">
      <alignment horizontal="center" wrapText="1"/>
    </xf>
    <xf numFmtId="164" fontId="1" fillId="30" borderId="28" xfId="1" applyNumberFormat="1" applyFill="1" applyBorder="1" applyAlignment="1">
      <alignment horizontal="center" wrapText="1"/>
    </xf>
    <xf numFmtId="164" fontId="1" fillId="30" borderId="38" xfId="1" applyNumberFormat="1" applyFill="1" applyBorder="1" applyAlignment="1">
      <alignment horizontal="center" wrapText="1"/>
    </xf>
    <xf numFmtId="164" fontId="1" fillId="30" borderId="29" xfId="1" applyNumberFormat="1" applyFill="1" applyBorder="1" applyAlignment="1">
      <alignment horizontal="center" wrapText="1"/>
    </xf>
    <xf numFmtId="7" fontId="37" fillId="29" borderId="37" xfId="0" applyNumberFormat="1" applyFont="1" applyFill="1" applyBorder="1" applyAlignment="1">
      <alignment horizontal="center"/>
    </xf>
    <xf numFmtId="7" fontId="21" fillId="0" borderId="46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1" fillId="0" borderId="0" xfId="1" applyAlignment="1">
      <alignment horizontal="right"/>
    </xf>
    <xf numFmtId="7" fontId="37" fillId="0" borderId="0" xfId="0" applyNumberFormat="1" applyFont="1" applyAlignment="1">
      <alignment horizontal="left"/>
    </xf>
    <xf numFmtId="0" fontId="21" fillId="0" borderId="33" xfId="0" applyFont="1" applyBorder="1" applyAlignment="1">
      <alignment horizontal="center"/>
    </xf>
    <xf numFmtId="7" fontId="21" fillId="30" borderId="0" xfId="0" applyNumberFormat="1" applyFont="1" applyFill="1" applyAlignment="1">
      <alignment horizontal="center"/>
    </xf>
    <xf numFmtId="7" fontId="21" fillId="30" borderId="47" xfId="0" applyNumberFormat="1" applyFont="1" applyFill="1" applyBorder="1" applyAlignment="1">
      <alignment horizontal="center"/>
    </xf>
    <xf numFmtId="7" fontId="26" fillId="2" borderId="47" xfId="0" applyNumberFormat="1" applyFont="1" applyFill="1" applyBorder="1" applyAlignment="1">
      <alignment horizontal="center"/>
    </xf>
    <xf numFmtId="0" fontId="37" fillId="0" borderId="0" xfId="0" applyFont="1"/>
    <xf numFmtId="0" fontId="37" fillId="25" borderId="24" xfId="0" applyFont="1" applyFill="1" applyBorder="1" applyAlignment="1">
      <alignment horizontal="center" wrapText="1"/>
    </xf>
    <xf numFmtId="7" fontId="41" fillId="29" borderId="16" xfId="0" applyNumberFormat="1" applyFont="1" applyFill="1" applyBorder="1" applyAlignment="1">
      <alignment horizontal="center"/>
    </xf>
    <xf numFmtId="7" fontId="40" fillId="0" borderId="16" xfId="0" applyNumberFormat="1" applyFont="1" applyBorder="1" applyAlignment="1">
      <alignment horizontal="center"/>
    </xf>
    <xf numFmtId="7" fontId="40" fillId="0" borderId="37" xfId="0" applyNumberFormat="1" applyFont="1" applyBorder="1" applyAlignment="1">
      <alignment horizontal="center"/>
    </xf>
    <xf numFmtId="0" fontId="21" fillId="37" borderId="0" xfId="0" applyFont="1" applyFill="1" applyAlignment="1">
      <alignment horizontal="right"/>
    </xf>
    <xf numFmtId="166" fontId="21" fillId="37" borderId="0" xfId="55" applyNumberFormat="1" applyFont="1" applyFill="1" applyAlignment="1">
      <alignment horizontal="center"/>
    </xf>
    <xf numFmtId="10" fontId="21" fillId="38" borderId="0" xfId="0" applyNumberFormat="1" applyFont="1" applyFill="1" applyAlignment="1">
      <alignment horizontal="center"/>
    </xf>
    <xf numFmtId="9" fontId="21" fillId="38" borderId="0" xfId="0" applyNumberFormat="1" applyFont="1" applyFill="1" applyAlignment="1">
      <alignment horizontal="center"/>
    </xf>
    <xf numFmtId="7" fontId="26" fillId="26" borderId="17" xfId="0" applyNumberFormat="1" applyFont="1" applyFill="1" applyBorder="1" applyAlignment="1">
      <alignment horizontal="center"/>
    </xf>
    <xf numFmtId="164" fontId="1" fillId="0" borderId="57" xfId="2" applyNumberFormat="1" applyFont="1" applyBorder="1" applyAlignment="1">
      <alignment horizontal="center" wrapText="1"/>
    </xf>
    <xf numFmtId="164" fontId="1" fillId="0" borderId="58" xfId="2" applyNumberFormat="1" applyFont="1" applyBorder="1" applyAlignment="1">
      <alignment horizontal="center" wrapText="1"/>
    </xf>
    <xf numFmtId="164" fontId="1" fillId="0" borderId="46" xfId="2" applyNumberFormat="1" applyFont="1" applyBorder="1" applyAlignment="1">
      <alignment horizontal="center" wrapText="1"/>
    </xf>
    <xf numFmtId="164" fontId="1" fillId="0" borderId="25" xfId="2" applyNumberFormat="1" applyFont="1" applyBorder="1" applyAlignment="1">
      <alignment horizontal="center" wrapText="1"/>
    </xf>
    <xf numFmtId="164" fontId="1" fillId="0" borderId="55" xfId="2" applyNumberFormat="1" applyFont="1" applyBorder="1" applyAlignment="1">
      <alignment horizontal="center" wrapText="1"/>
    </xf>
    <xf numFmtId="164" fontId="1" fillId="0" borderId="17" xfId="2" applyNumberFormat="1" applyFont="1" applyBorder="1" applyAlignment="1">
      <alignment horizontal="center" wrapText="1"/>
    </xf>
    <xf numFmtId="164" fontId="1" fillId="0" borderId="48" xfId="2" applyNumberFormat="1" applyFont="1" applyBorder="1" applyAlignment="1">
      <alignment horizontal="center" wrapText="1"/>
    </xf>
    <xf numFmtId="164" fontId="1" fillId="0" borderId="51" xfId="2" applyNumberFormat="1" applyFont="1" applyBorder="1" applyAlignment="1">
      <alignment horizontal="center" wrapText="1"/>
    </xf>
    <xf numFmtId="164" fontId="1" fillId="0" borderId="21" xfId="2" applyNumberFormat="1" applyFont="1" applyBorder="1" applyAlignment="1">
      <alignment horizontal="center" wrapText="1"/>
    </xf>
    <xf numFmtId="164" fontId="1" fillId="0" borderId="0" xfId="1" applyNumberFormat="1" applyAlignment="1">
      <alignment horizontal="center"/>
    </xf>
    <xf numFmtId="164" fontId="26" fillId="0" borderId="0" xfId="1" applyNumberFormat="1" applyFont="1" applyAlignment="1">
      <alignment horizontal="center"/>
    </xf>
    <xf numFmtId="7" fontId="43" fillId="0" borderId="0" xfId="0" applyNumberFormat="1" applyFont="1" applyAlignment="1">
      <alignment horizontal="center"/>
    </xf>
    <xf numFmtId="0" fontId="42" fillId="36" borderId="11" xfId="1" applyFont="1" applyFill="1" applyBorder="1"/>
    <xf numFmtId="164" fontId="34" fillId="35" borderId="17" xfId="1" applyNumberFormat="1" applyFont="1" applyFill="1" applyBorder="1" applyAlignment="1">
      <alignment horizontal="center"/>
    </xf>
    <xf numFmtId="164" fontId="34" fillId="35" borderId="25" xfId="1" applyNumberFormat="1" applyFont="1" applyFill="1" applyBorder="1" applyAlignment="1">
      <alignment horizontal="center"/>
    </xf>
    <xf numFmtId="164" fontId="34" fillId="35" borderId="55" xfId="1" applyNumberFormat="1" applyFont="1" applyFill="1" applyBorder="1" applyAlignment="1">
      <alignment horizontal="center"/>
    </xf>
    <xf numFmtId="164" fontId="34" fillId="35" borderId="16" xfId="1" applyNumberFormat="1" applyFont="1" applyFill="1" applyBorder="1" applyAlignment="1">
      <alignment horizontal="center"/>
    </xf>
    <xf numFmtId="164" fontId="34" fillId="35" borderId="54" xfId="1" applyNumberFormat="1" applyFont="1" applyFill="1" applyBorder="1" applyAlignment="1">
      <alignment horizontal="center"/>
    </xf>
    <xf numFmtId="0" fontId="22" fillId="30" borderId="18" xfId="1" applyFont="1" applyFill="1" applyBorder="1"/>
    <xf numFmtId="164" fontId="1" fillId="30" borderId="0" xfId="1" applyNumberFormat="1" applyFill="1"/>
    <xf numFmtId="0" fontId="44" fillId="2" borderId="0" xfId="0" applyFont="1" applyFill="1" applyAlignment="1">
      <alignment horizontal="center"/>
    </xf>
    <xf numFmtId="164" fontId="1" fillId="0" borderId="0" xfId="2" applyNumberFormat="1" applyFont="1" applyBorder="1" applyAlignment="1">
      <alignment horizontal="center" wrapText="1"/>
    </xf>
    <xf numFmtId="7" fontId="28" fillId="2" borderId="0" xfId="0" applyNumberFormat="1" applyFont="1" applyFill="1" applyAlignment="1">
      <alignment horizontal="center"/>
    </xf>
    <xf numFmtId="7" fontId="28" fillId="2" borderId="17" xfId="0" applyNumberFormat="1" applyFont="1" applyFill="1" applyBorder="1" applyAlignment="1">
      <alignment horizontal="center"/>
    </xf>
    <xf numFmtId="0" fontId="21" fillId="0" borderId="59" xfId="56" applyBorder="1"/>
    <xf numFmtId="0" fontId="21" fillId="0" borderId="41" xfId="0" applyFont="1" applyBorder="1" applyAlignment="1">
      <alignment horizontal="center"/>
    </xf>
    <xf numFmtId="7" fontId="28" fillId="2" borderId="41" xfId="0" applyNumberFormat="1" applyFont="1" applyFill="1" applyBorder="1" applyAlignment="1">
      <alignment horizontal="center"/>
    </xf>
    <xf numFmtId="7" fontId="28" fillId="2" borderId="47" xfId="0" applyNumberFormat="1" applyFont="1" applyFill="1" applyBorder="1" applyAlignment="1">
      <alignment horizontal="center"/>
    </xf>
    <xf numFmtId="0" fontId="37" fillId="25" borderId="42" xfId="0" applyFont="1" applyFill="1" applyBorder="1" applyAlignment="1">
      <alignment horizontal="center" wrapText="1"/>
    </xf>
    <xf numFmtId="7" fontId="28" fillId="2" borderId="16" xfId="0" applyNumberFormat="1" applyFont="1" applyFill="1" applyBorder="1" applyAlignment="1">
      <alignment horizontal="center"/>
    </xf>
    <xf numFmtId="7" fontId="28" fillId="2" borderId="37" xfId="0" applyNumberFormat="1" applyFont="1" applyFill="1" applyBorder="1" applyAlignment="1">
      <alignment horizontal="center"/>
    </xf>
    <xf numFmtId="0" fontId="21" fillId="0" borderId="25" xfId="0" applyFont="1" applyBorder="1"/>
    <xf numFmtId="0" fontId="21" fillId="0" borderId="59" xfId="0" applyFont="1" applyBorder="1"/>
    <xf numFmtId="0" fontId="21" fillId="0" borderId="25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7" fontId="1" fillId="30" borderId="54" xfId="1" applyNumberFormat="1" applyFill="1" applyBorder="1" applyAlignment="1" applyProtection="1">
      <alignment horizontal="center"/>
      <protection hidden="1"/>
    </xf>
    <xf numFmtId="7" fontId="1" fillId="30" borderId="25" xfId="1" applyNumberFormat="1" applyFill="1" applyBorder="1" applyAlignment="1" applyProtection="1">
      <alignment horizontal="center"/>
      <protection hidden="1"/>
    </xf>
    <xf numFmtId="7" fontId="1" fillId="30" borderId="17" xfId="1" applyNumberFormat="1" applyFill="1" applyBorder="1" applyAlignment="1" applyProtection="1">
      <alignment horizontal="center"/>
      <protection hidden="1"/>
    </xf>
    <xf numFmtId="7" fontId="1" fillId="30" borderId="55" xfId="1" applyNumberFormat="1" applyFill="1" applyBorder="1" applyAlignment="1" applyProtection="1">
      <alignment horizontal="center"/>
      <protection hidden="1"/>
    </xf>
    <xf numFmtId="7" fontId="1" fillId="30" borderId="16" xfId="1" applyNumberFormat="1" applyFill="1" applyBorder="1" applyAlignment="1" applyProtection="1">
      <alignment horizontal="center"/>
      <protection hidden="1"/>
    </xf>
    <xf numFmtId="164" fontId="34" fillId="35" borderId="54" xfId="1" applyNumberFormat="1" applyFont="1" applyFill="1" applyBorder="1" applyProtection="1">
      <protection hidden="1"/>
    </xf>
    <xf numFmtId="164" fontId="34" fillId="35" borderId="25" xfId="1" applyNumberFormat="1" applyFont="1" applyFill="1" applyBorder="1" applyProtection="1">
      <protection hidden="1"/>
    </xf>
    <xf numFmtId="164" fontId="34" fillId="35" borderId="17" xfId="1" applyNumberFormat="1" applyFont="1" applyFill="1" applyBorder="1" applyProtection="1">
      <protection hidden="1"/>
    </xf>
    <xf numFmtId="164" fontId="34" fillId="35" borderId="55" xfId="1" applyNumberFormat="1" applyFont="1" applyFill="1" applyBorder="1" applyProtection="1">
      <protection hidden="1"/>
    </xf>
    <xf numFmtId="164" fontId="34" fillId="35" borderId="16" xfId="1" applyNumberFormat="1" applyFont="1" applyFill="1" applyBorder="1" applyProtection="1">
      <protection hidden="1"/>
    </xf>
    <xf numFmtId="7" fontId="1" fillId="30" borderId="52" xfId="1" applyNumberFormat="1" applyFill="1" applyBorder="1" applyAlignment="1" applyProtection="1">
      <alignment horizontal="center"/>
      <protection hidden="1"/>
    </xf>
    <xf numFmtId="7" fontId="1" fillId="30" borderId="48" xfId="1" applyNumberFormat="1" applyFill="1" applyBorder="1" applyAlignment="1" applyProtection="1">
      <alignment horizontal="center"/>
      <protection hidden="1"/>
    </xf>
    <xf numFmtId="7" fontId="1" fillId="30" borderId="21" xfId="1" applyNumberFormat="1" applyFill="1" applyBorder="1" applyAlignment="1" applyProtection="1">
      <alignment horizontal="center"/>
      <protection hidden="1"/>
    </xf>
    <xf numFmtId="7" fontId="1" fillId="30" borderId="51" xfId="1" applyNumberFormat="1" applyFill="1" applyBorder="1" applyAlignment="1" applyProtection="1">
      <alignment horizontal="center"/>
      <protection hidden="1"/>
    </xf>
    <xf numFmtId="7" fontId="1" fillId="30" borderId="22" xfId="1" applyNumberFormat="1" applyFill="1" applyBorder="1" applyAlignment="1" applyProtection="1">
      <alignment horizontal="center"/>
      <protection hidden="1"/>
    </xf>
    <xf numFmtId="0" fontId="20" fillId="36" borderId="0" xfId="1" applyFont="1" applyFill="1" applyAlignment="1" applyProtection="1">
      <alignment horizontal="center"/>
      <protection locked="0"/>
    </xf>
    <xf numFmtId="0" fontId="20" fillId="30" borderId="43" xfId="1" applyFont="1" applyFill="1" applyBorder="1" applyAlignment="1">
      <alignment horizontal="center"/>
    </xf>
    <xf numFmtId="0" fontId="20" fillId="30" borderId="36" xfId="1" applyFont="1" applyFill="1" applyBorder="1" applyAlignment="1">
      <alignment horizontal="center"/>
    </xf>
    <xf numFmtId="0" fontId="20" fillId="30" borderId="34" xfId="1" applyFont="1" applyFill="1" applyBorder="1" applyAlignment="1">
      <alignment horizontal="center"/>
    </xf>
    <xf numFmtId="0" fontId="20" fillId="30" borderId="44" xfId="1" applyFont="1" applyFill="1" applyBorder="1" applyAlignment="1">
      <alignment horizontal="center"/>
    </xf>
    <xf numFmtId="0" fontId="37" fillId="25" borderId="37" xfId="0" applyFont="1" applyFill="1" applyBorder="1" applyAlignment="1">
      <alignment horizontal="center" wrapText="1"/>
    </xf>
    <xf numFmtId="0" fontId="37" fillId="25" borderId="41" xfId="0" applyFont="1" applyFill="1" applyBorder="1" applyAlignment="1">
      <alignment horizontal="center" wrapText="1"/>
    </xf>
    <xf numFmtId="0" fontId="37" fillId="25" borderId="24" xfId="0" applyFont="1" applyFill="1" applyBorder="1" applyAlignment="1">
      <alignment horizontal="center" wrapText="1"/>
    </xf>
  </cellXfs>
  <cellStyles count="64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BadEntry" xfId="57" xr:uid="{00000000-0005-0000-0000-000019000000}"/>
    <cellStyle name="Calcs" xfId="58" xr:uid="{00000000-0005-0000-0000-00001A000000}"/>
    <cellStyle name="Calculation 2" xfId="36" xr:uid="{00000000-0005-0000-0000-00001B000000}"/>
    <cellStyle name="Check Cell 2" xfId="37" xr:uid="{00000000-0005-0000-0000-00001C000000}"/>
    <cellStyle name="Comma 2" xfId="3" xr:uid="{00000000-0005-0000-0000-00001D000000}"/>
    <cellStyle name="Comma 3" xfId="4" xr:uid="{00000000-0005-0000-0000-00001E000000}"/>
    <cellStyle name="Comma 4" xfId="9" xr:uid="{00000000-0005-0000-0000-00001F000000}"/>
    <cellStyle name="ContentsHyperlink" xfId="59" xr:uid="{00000000-0005-0000-0000-000020000000}"/>
    <cellStyle name="Currency" xfId="54" builtinId="4"/>
    <cellStyle name="Currency 2" xfId="2" xr:uid="{00000000-0005-0000-0000-000022000000}"/>
    <cellStyle name="Currency 3" xfId="5" xr:uid="{00000000-0005-0000-0000-000023000000}"/>
    <cellStyle name="Currency 4" xfId="8" xr:uid="{00000000-0005-0000-0000-000024000000}"/>
    <cellStyle name="Currency 5" xfId="38" xr:uid="{00000000-0005-0000-0000-000025000000}"/>
    <cellStyle name="Explanatory Text 2" xfId="39" xr:uid="{00000000-0005-0000-0000-000026000000}"/>
    <cellStyle name="Good 2" xfId="40" xr:uid="{00000000-0005-0000-0000-000027000000}"/>
    <cellStyle name="Heading" xfId="60" xr:uid="{00000000-0005-0000-0000-000028000000}"/>
    <cellStyle name="Heading 1 2" xfId="41" xr:uid="{00000000-0005-0000-0000-000029000000}"/>
    <cellStyle name="Heading 2 2" xfId="42" xr:uid="{00000000-0005-0000-0000-00002A000000}"/>
    <cellStyle name="Heading 3 2" xfId="43" xr:uid="{00000000-0005-0000-0000-00002B000000}"/>
    <cellStyle name="Heading 4 2" xfId="44" xr:uid="{00000000-0005-0000-0000-00002C000000}"/>
    <cellStyle name="Heading 5" xfId="61" xr:uid="{00000000-0005-0000-0000-00002D000000}"/>
    <cellStyle name="Input 2" xfId="45" xr:uid="{00000000-0005-0000-0000-00002F000000}"/>
    <cellStyle name="Linked Cell 2" xfId="46" xr:uid="{00000000-0005-0000-0000-000030000000}"/>
    <cellStyle name="Neutral 2" xfId="47" xr:uid="{00000000-0005-0000-0000-000031000000}"/>
    <cellStyle name="NoEntry" xfId="62" xr:uid="{00000000-0005-0000-0000-000032000000}"/>
    <cellStyle name="Normal" xfId="0" builtinId="0"/>
    <cellStyle name="Normal 2" xfId="1" xr:uid="{00000000-0005-0000-0000-000034000000}"/>
    <cellStyle name="Normal 3" xfId="6" xr:uid="{00000000-0005-0000-0000-000035000000}"/>
    <cellStyle name="Normal 4" xfId="10" xr:uid="{00000000-0005-0000-0000-000036000000}"/>
    <cellStyle name="Normal 5" xfId="56" xr:uid="{00000000-0005-0000-0000-000037000000}"/>
    <cellStyle name="Note 2" xfId="48" xr:uid="{00000000-0005-0000-0000-000038000000}"/>
    <cellStyle name="Output 2" xfId="49" xr:uid="{00000000-0005-0000-0000-000039000000}"/>
    <cellStyle name="Percent" xfId="55" builtinId="5"/>
    <cellStyle name="Percent 2" xfId="7" xr:uid="{00000000-0005-0000-0000-00003B000000}"/>
    <cellStyle name="Percent 3" xfId="50" xr:uid="{00000000-0005-0000-0000-00003C000000}"/>
    <cellStyle name="Title 2" xfId="51" xr:uid="{00000000-0005-0000-0000-00003D000000}"/>
    <cellStyle name="Total 2" xfId="52" xr:uid="{00000000-0005-0000-0000-00003E000000}"/>
    <cellStyle name="UserEntry" xfId="63" xr:uid="{00000000-0005-0000-0000-00003F000000}"/>
    <cellStyle name="Warning Text 2" xfId="53" xr:uid="{00000000-0005-0000-0000-000040000000}"/>
  </cellStyles>
  <dxfs count="0"/>
  <tableStyles count="1" defaultTableStyle="TableStyleMedium9" defaultPivotStyle="PivotStyleLight16">
    <tableStyle name="Invisible" pivot="0" table="0" count="0" xr9:uid="{52242149-92D2-4671-BE58-CD9FC72B58A6}"/>
  </tableStyles>
  <colors>
    <mruColors>
      <color rgb="FFCCFFFF"/>
      <color rgb="FFFF00FF"/>
      <color rgb="FF0000CC"/>
      <color rgb="FFFF7C80"/>
      <color rgb="FFFFFFCC"/>
      <color rgb="FF9900CC"/>
      <color rgb="FF33CC33"/>
      <color rgb="FFCCFFCC"/>
      <color rgb="FFFF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8BAD-86D4-4DA6-B0CF-87E47446675E}">
  <sheetPr>
    <tabColor rgb="FFCCFFFF"/>
  </sheetPr>
  <dimension ref="A1:AI37"/>
  <sheetViews>
    <sheetView tabSelected="1" zoomScaleNormal="100" workbookViewId="0">
      <pane xSplit="3" ySplit="10" topLeftCell="D11" activePane="bottomRight" state="frozen"/>
      <selection activeCell="D72" sqref="D72"/>
      <selection pane="topRight" activeCell="D72" sqref="D72"/>
      <selection pane="bottomLeft" activeCell="D72" sqref="D72"/>
      <selection pane="bottomRight" activeCell="F6" sqref="F6"/>
    </sheetView>
  </sheetViews>
  <sheetFormatPr defaultColWidth="9.109375" defaultRowHeight="13.2" x14ac:dyDescent="0.25"/>
  <cols>
    <col min="1" max="1" width="2.5546875" style="7" customWidth="1"/>
    <col min="2" max="2" width="47.44140625" style="7" customWidth="1"/>
    <col min="3" max="3" width="15.88671875" style="7" customWidth="1"/>
    <col min="4" max="35" width="12.88671875" style="7" customWidth="1"/>
    <col min="36" max="16384" width="9.109375" style="7"/>
  </cols>
  <sheetData>
    <row r="1" spans="1:35" ht="15.6" x14ac:dyDescent="0.3">
      <c r="A1" s="30" t="s">
        <v>80</v>
      </c>
      <c r="B1" s="30"/>
      <c r="C1" s="30"/>
    </row>
    <row r="2" spans="1:35" ht="13.8" x14ac:dyDescent="0.25">
      <c r="A2" s="39" t="s">
        <v>87</v>
      </c>
      <c r="B2" s="39"/>
      <c r="C2" s="39"/>
    </row>
    <row r="3" spans="1:35" ht="13.8" x14ac:dyDescent="0.25">
      <c r="A3" s="39" t="s">
        <v>86</v>
      </c>
      <c r="B3" s="39"/>
      <c r="C3" s="39"/>
      <c r="D3" s="46"/>
      <c r="E3" s="46"/>
      <c r="F3" s="46"/>
      <c r="G3" s="46"/>
    </row>
    <row r="4" spans="1:35" x14ac:dyDescent="0.25">
      <c r="A4" s="31" t="str">
        <f>"Plan Year "&amp;cal!B1&amp;" Rates"</f>
        <v>Plan Year 2025 Rates</v>
      </c>
      <c r="B4" s="31"/>
      <c r="C4" s="31"/>
      <c r="D4" s="46"/>
    </row>
    <row r="5" spans="1:35" x14ac:dyDescent="0.25">
      <c r="E5" s="46"/>
    </row>
    <row r="6" spans="1:35" x14ac:dyDescent="0.25">
      <c r="A6" s="6"/>
      <c r="B6" s="8" t="s">
        <v>78</v>
      </c>
      <c r="C6" s="192" t="s">
        <v>16</v>
      </c>
      <c r="F6" s="46"/>
    </row>
    <row r="7" spans="1:35" x14ac:dyDescent="0.25">
      <c r="A7" s="6"/>
      <c r="B7" s="8" t="s">
        <v>77</v>
      </c>
      <c r="C7" s="192" t="s">
        <v>75</v>
      </c>
      <c r="D7" s="46"/>
      <c r="F7" s="46"/>
    </row>
    <row r="8" spans="1:35" ht="13.8" thickBot="1" x14ac:dyDescent="0.3">
      <c r="A8" s="9"/>
      <c r="B8" s="9"/>
      <c r="C8" s="9"/>
      <c r="F8" s="46"/>
    </row>
    <row r="9" spans="1:35" s="6" customFormat="1" ht="15.75" customHeight="1" x14ac:dyDescent="0.25">
      <c r="A9" s="27"/>
      <c r="B9" s="40"/>
      <c r="C9" s="25"/>
      <c r="D9" s="193" t="s">
        <v>109</v>
      </c>
      <c r="E9" s="194"/>
      <c r="F9" s="195" t="s">
        <v>51</v>
      </c>
      <c r="G9" s="196"/>
      <c r="H9" s="15" t="s">
        <v>110</v>
      </c>
      <c r="I9" s="16"/>
      <c r="J9" s="16" t="s">
        <v>111</v>
      </c>
      <c r="K9" s="16"/>
      <c r="L9" s="16" t="s">
        <v>112</v>
      </c>
      <c r="M9" s="16"/>
      <c r="N9" s="16" t="s">
        <v>113</v>
      </c>
      <c r="O9" s="16"/>
      <c r="P9" s="16" t="s">
        <v>114</v>
      </c>
      <c r="Q9" s="16"/>
      <c r="R9" s="16" t="s">
        <v>115</v>
      </c>
      <c r="S9" s="16"/>
      <c r="T9" s="16" t="s">
        <v>116</v>
      </c>
      <c r="U9" s="17"/>
      <c r="V9" s="15" t="s">
        <v>102</v>
      </c>
      <c r="W9" s="16"/>
      <c r="X9" s="16" t="s">
        <v>103</v>
      </c>
      <c r="Y9" s="16"/>
      <c r="Z9" s="16" t="s">
        <v>104</v>
      </c>
      <c r="AA9" s="16"/>
      <c r="AB9" s="16" t="s">
        <v>105</v>
      </c>
      <c r="AC9" s="16"/>
      <c r="AD9" s="16" t="s">
        <v>22</v>
      </c>
      <c r="AE9" s="16"/>
      <c r="AF9" s="16" t="s">
        <v>23</v>
      </c>
      <c r="AG9" s="16"/>
      <c r="AH9" s="16" t="s">
        <v>24</v>
      </c>
      <c r="AI9" s="18"/>
    </row>
    <row r="10" spans="1:35" s="14" customFormat="1" ht="15.75" customHeight="1" thickBot="1" x14ac:dyDescent="0.3">
      <c r="A10" s="26" t="s">
        <v>79</v>
      </c>
      <c r="B10" s="50"/>
      <c r="C10" s="41"/>
      <c r="D10" s="19" t="s">
        <v>52</v>
      </c>
      <c r="E10" s="20" t="s">
        <v>38</v>
      </c>
      <c r="F10" s="21" t="s">
        <v>52</v>
      </c>
      <c r="G10" s="22" t="s">
        <v>38</v>
      </c>
      <c r="H10" s="19" t="s">
        <v>52</v>
      </c>
      <c r="I10" s="20" t="s">
        <v>38</v>
      </c>
      <c r="J10" s="20" t="str">
        <f>$H$10</f>
        <v>MA PREM</v>
      </c>
      <c r="K10" s="20" t="str">
        <f>$I$10</f>
        <v>MA STD</v>
      </c>
      <c r="L10" s="20" t="str">
        <f t="shared" ref="L10" si="0">$H$10</f>
        <v>MA PREM</v>
      </c>
      <c r="M10" s="20" t="str">
        <f t="shared" ref="M10" si="1">$I$10</f>
        <v>MA STD</v>
      </c>
      <c r="N10" s="20" t="str">
        <f t="shared" ref="N10" si="2">$H$10</f>
        <v>MA PREM</v>
      </c>
      <c r="O10" s="20" t="str">
        <f t="shared" ref="O10" si="3">$I$10</f>
        <v>MA STD</v>
      </c>
      <c r="P10" s="20" t="str">
        <f t="shared" ref="P10" si="4">$H$10</f>
        <v>MA PREM</v>
      </c>
      <c r="Q10" s="20" t="str">
        <f t="shared" ref="Q10" si="5">$I$10</f>
        <v>MA STD</v>
      </c>
      <c r="R10" s="20" t="str">
        <f t="shared" ref="R10" si="6">$H$10</f>
        <v>MA PREM</v>
      </c>
      <c r="S10" s="20" t="str">
        <f t="shared" ref="S10" si="7">$I$10</f>
        <v>MA STD</v>
      </c>
      <c r="T10" s="20" t="str">
        <f t="shared" ref="T10" si="8">$H$10</f>
        <v>MA PREM</v>
      </c>
      <c r="U10" s="23" t="str">
        <f t="shared" ref="U10" si="9">$I$10</f>
        <v>MA STD</v>
      </c>
      <c r="V10" s="19" t="str">
        <f t="shared" ref="V10" si="10">$H$10</f>
        <v>MA PREM</v>
      </c>
      <c r="W10" s="20" t="str">
        <f t="shared" ref="W10" si="11">$I$10</f>
        <v>MA STD</v>
      </c>
      <c r="X10" s="20" t="str">
        <f t="shared" ref="X10" si="12">$H$10</f>
        <v>MA PREM</v>
      </c>
      <c r="Y10" s="20" t="str">
        <f t="shared" ref="Y10" si="13">$I$10</f>
        <v>MA STD</v>
      </c>
      <c r="Z10" s="20" t="str">
        <f t="shared" ref="Z10" si="14">$H$10</f>
        <v>MA PREM</v>
      </c>
      <c r="AA10" s="20" t="str">
        <f t="shared" ref="AA10" si="15">$I$10</f>
        <v>MA STD</v>
      </c>
      <c r="AB10" s="20" t="str">
        <f t="shared" ref="AB10:AH10" si="16">$H$10</f>
        <v>MA PREM</v>
      </c>
      <c r="AC10" s="20" t="str">
        <f t="shared" ref="AC10:AI10" si="17">$I$10</f>
        <v>MA STD</v>
      </c>
      <c r="AD10" s="20" t="str">
        <f t="shared" si="16"/>
        <v>MA PREM</v>
      </c>
      <c r="AE10" s="20" t="str">
        <f t="shared" si="17"/>
        <v>MA STD</v>
      </c>
      <c r="AF10" s="20" t="str">
        <f t="shared" si="16"/>
        <v>MA PREM</v>
      </c>
      <c r="AG10" s="20" t="str">
        <f t="shared" si="17"/>
        <v>MA STD</v>
      </c>
      <c r="AH10" s="20" t="str">
        <f t="shared" si="16"/>
        <v>MA PREM</v>
      </c>
      <c r="AI10" s="24" t="str">
        <f t="shared" si="17"/>
        <v>MA STD</v>
      </c>
    </row>
    <row r="11" spans="1:35" x14ac:dyDescent="0.25">
      <c r="A11" s="32" t="s">
        <v>81</v>
      </c>
      <c r="B11" s="42"/>
      <c r="C11" s="47"/>
      <c r="D11" s="33"/>
      <c r="E11" s="34"/>
      <c r="F11" s="35"/>
      <c r="G11" s="36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7"/>
      <c r="V11" s="33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6"/>
    </row>
    <row r="12" spans="1:35" x14ac:dyDescent="0.25">
      <c r="A12" s="11"/>
      <c r="B12" s="7" t="s">
        <v>88</v>
      </c>
      <c r="C12" s="10"/>
      <c r="D12" s="177">
        <f>IF($C$6="Retiree",cal!D104,cal!D133)</f>
        <v>199.41</v>
      </c>
      <c r="E12" s="178">
        <f>IF($C$6="Retiree",cal!E104,cal!E133)</f>
        <v>32.409999999999997</v>
      </c>
      <c r="F12" s="179">
        <f>IF($C$6="Retiree",cal!F104,cal!F133)</f>
        <v>230.8</v>
      </c>
      <c r="G12" s="180">
        <f>IF($C$6="Retiree",cal!G104,cal!G133)</f>
        <v>95</v>
      </c>
      <c r="H12" s="177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81"/>
      <c r="V12" s="177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80"/>
    </row>
    <row r="13" spans="1:35" ht="6" customHeight="1" x14ac:dyDescent="0.25">
      <c r="A13" s="12"/>
      <c r="B13" s="44"/>
      <c r="C13" s="49"/>
      <c r="D13" s="177"/>
      <c r="E13" s="178"/>
      <c r="F13" s="179"/>
      <c r="G13" s="180"/>
      <c r="H13" s="177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81"/>
      <c r="V13" s="177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80"/>
    </row>
    <row r="14" spans="1:35" x14ac:dyDescent="0.25">
      <c r="A14" s="38" t="s">
        <v>26</v>
      </c>
      <c r="B14" s="43"/>
      <c r="C14" s="48"/>
      <c r="D14" s="182"/>
      <c r="E14" s="183"/>
      <c r="F14" s="184"/>
      <c r="G14" s="185"/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6"/>
      <c r="V14" s="182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5"/>
    </row>
    <row r="15" spans="1:35" x14ac:dyDescent="0.25">
      <c r="A15" s="12"/>
      <c r="B15" s="44" t="s">
        <v>89</v>
      </c>
      <c r="C15" s="49"/>
      <c r="D15" s="177"/>
      <c r="E15" s="178"/>
      <c r="F15" s="179"/>
      <c r="G15" s="180"/>
      <c r="H15" s="177">
        <f>IF($C$6="Retiree",cal!H107,cal!H136)</f>
        <v>1364.21</v>
      </c>
      <c r="I15" s="178">
        <f>IF($C$6="Retiree",cal!I107,cal!I136)</f>
        <v>1197.21</v>
      </c>
      <c r="J15" s="178">
        <f>IF($C$6="Retiree",cal!J107,cal!J136)</f>
        <v>1294.3600000000001</v>
      </c>
      <c r="K15" s="178">
        <f>IF($C$6="Retiree",cal!K107,cal!K136)</f>
        <v>1127.3600000000001</v>
      </c>
      <c r="L15" s="178">
        <f>IF($C$6="Retiree",cal!L107,cal!L136)</f>
        <v>1241.01</v>
      </c>
      <c r="M15" s="178">
        <f>IF($C$6="Retiree",cal!M107,cal!M136)</f>
        <v>1074.01</v>
      </c>
      <c r="N15" s="178">
        <f>IF($C$6="Retiree",cal!N107,cal!N136)</f>
        <v>1323.3600000000001</v>
      </c>
      <c r="O15" s="178">
        <f>IF($C$6="Retiree",cal!O107,cal!O136)</f>
        <v>1156.3600000000001</v>
      </c>
      <c r="P15" s="178">
        <f>IF($C$6="Retiree",cal!P107,cal!P136)</f>
        <v>1366.3100000000002</v>
      </c>
      <c r="Q15" s="178">
        <f>IF($C$6="Retiree",cal!Q107,cal!Q136)</f>
        <v>1199.3100000000002</v>
      </c>
      <c r="R15" s="178">
        <f>IF($C$6="Retiree",cal!R107,cal!R136)</f>
        <v>1230.03</v>
      </c>
      <c r="S15" s="178">
        <f>IF($C$6="Retiree",cal!S107,cal!S136)</f>
        <v>1063.03</v>
      </c>
      <c r="T15" s="178">
        <f>IF($C$6="Retiree",cal!T107,cal!T136)</f>
        <v>1043.53</v>
      </c>
      <c r="U15" s="181">
        <f>IF($C$6="Retiree",cal!U107,cal!U136)</f>
        <v>876.53</v>
      </c>
      <c r="V15" s="177">
        <f>IF($C$6="Retiree",cal!V107,cal!V136)</f>
        <v>1395.6</v>
      </c>
      <c r="W15" s="178">
        <f>IF($C$6="Retiree",cal!W107,cal!W136)</f>
        <v>1259.8</v>
      </c>
      <c r="X15" s="178">
        <f>IF($C$6="Retiree",cal!X107,cal!X136)</f>
        <v>1325.75</v>
      </c>
      <c r="Y15" s="178">
        <f>IF($C$6="Retiree",cal!Y107,cal!Y136)</f>
        <v>1189.95</v>
      </c>
      <c r="Z15" s="178">
        <f>IF($C$6="Retiree",cal!Z107,cal!Z136)</f>
        <v>1272.3999999999999</v>
      </c>
      <c r="AA15" s="178">
        <f>IF($C$6="Retiree",cal!AA107,cal!AA136)</f>
        <v>1136.5999999999999</v>
      </c>
      <c r="AB15" s="178">
        <f>IF($C$6="Retiree",cal!AB107,cal!AB136)</f>
        <v>1354.75</v>
      </c>
      <c r="AC15" s="178">
        <f>IF($C$6="Retiree",cal!AC107,cal!AC136)</f>
        <v>1218.95</v>
      </c>
      <c r="AD15" s="178">
        <f>IF($C$6="Retiree",cal!AD107,cal!AD136)</f>
        <v>1397.7</v>
      </c>
      <c r="AE15" s="178">
        <f>IF($C$6="Retiree",cal!AE107,cal!AE136)</f>
        <v>1261.9000000000001</v>
      </c>
      <c r="AF15" s="178">
        <f>IF($C$6="Retiree",cal!AF107,cal!AF136)</f>
        <v>1261.4199999999998</v>
      </c>
      <c r="AG15" s="178">
        <f>IF($C$6="Retiree",cal!AG107,cal!AG136)</f>
        <v>1125.6199999999999</v>
      </c>
      <c r="AH15" s="178">
        <f>IF($C$6="Retiree",cal!AH107,cal!AH136)</f>
        <v>1074.92</v>
      </c>
      <c r="AI15" s="180">
        <f>IF($C$6="Retiree",cal!AI107,cal!AI136)</f>
        <v>939.12</v>
      </c>
    </row>
    <row r="16" spans="1:35" x14ac:dyDescent="0.25">
      <c r="A16" s="12"/>
      <c r="B16" s="44" t="s">
        <v>90</v>
      </c>
      <c r="C16" s="49"/>
      <c r="D16" s="177"/>
      <c r="E16" s="178"/>
      <c r="F16" s="179"/>
      <c r="G16" s="180"/>
      <c r="H16" s="177">
        <f>IF($C$6="Retiree",cal!H108,cal!H137)</f>
        <v>1258.3200000000002</v>
      </c>
      <c r="I16" s="178">
        <f>IF($C$6="Retiree",cal!I108,cal!I137)</f>
        <v>1091.3200000000002</v>
      </c>
      <c r="J16" s="178">
        <f>IF($C$6="Retiree",cal!J108,cal!J137)</f>
        <v>1194.82</v>
      </c>
      <c r="K16" s="178">
        <f>IF($C$6="Retiree",cal!K108,cal!K137)</f>
        <v>1027.82</v>
      </c>
      <c r="L16" s="178">
        <f>IF($C$6="Retiree",cal!L108,cal!L137)</f>
        <v>1146.32</v>
      </c>
      <c r="M16" s="178">
        <f>IF($C$6="Retiree",cal!M108,cal!M137)</f>
        <v>979.31999999999994</v>
      </c>
      <c r="N16" s="178">
        <f>IF($C$6="Retiree",cal!N108,cal!N137)</f>
        <v>1221.18</v>
      </c>
      <c r="O16" s="178">
        <f>IF($C$6="Retiree",cal!O108,cal!O137)</f>
        <v>1054.18</v>
      </c>
      <c r="P16" s="178">
        <f>IF($C$6="Retiree",cal!P108,cal!P137)</f>
        <v>1260.23</v>
      </c>
      <c r="Q16" s="178">
        <f>IF($C$6="Retiree",cal!Q108,cal!Q137)</f>
        <v>1093.23</v>
      </c>
      <c r="R16" s="178">
        <f>IF($C$6="Retiree",cal!R108,cal!R137)</f>
        <v>1136.3399999999999</v>
      </c>
      <c r="S16" s="178">
        <f>IF($C$6="Retiree",cal!S108,cal!S137)</f>
        <v>969.33999999999992</v>
      </c>
      <c r="T16" s="178">
        <f>IF($C$6="Retiree",cal!T108,cal!T137)</f>
        <v>1043.53</v>
      </c>
      <c r="U16" s="181">
        <f>IF($C$6="Retiree",cal!U108,cal!U137)</f>
        <v>876.53</v>
      </c>
      <c r="V16" s="177">
        <f>IF($C$6="Retiree",cal!V108,cal!V137)</f>
        <v>1289.71</v>
      </c>
      <c r="W16" s="178">
        <f>IF($C$6="Retiree",cal!W108,cal!W137)</f>
        <v>1153.9100000000001</v>
      </c>
      <c r="X16" s="178">
        <f>IF($C$6="Retiree",cal!X108,cal!X137)</f>
        <v>1226.21</v>
      </c>
      <c r="Y16" s="178">
        <f>IF($C$6="Retiree",cal!Y108,cal!Y137)</f>
        <v>1090.4099999999999</v>
      </c>
      <c r="Z16" s="178">
        <f>IF($C$6="Retiree",cal!Z108,cal!Z137)</f>
        <v>1177.71</v>
      </c>
      <c r="AA16" s="178">
        <f>IF($C$6="Retiree",cal!AA108,cal!AA137)</f>
        <v>1041.9099999999999</v>
      </c>
      <c r="AB16" s="178">
        <f>IF($C$6="Retiree",cal!AB108,cal!AB137)</f>
        <v>1252.57</v>
      </c>
      <c r="AC16" s="178">
        <f>IF($C$6="Retiree",cal!AC108,cal!AC137)</f>
        <v>1116.77</v>
      </c>
      <c r="AD16" s="178">
        <f>IF($C$6="Retiree",cal!AD108,cal!AD137)</f>
        <v>1291.6199999999999</v>
      </c>
      <c r="AE16" s="178">
        <f>IF($C$6="Retiree",cal!AE108,cal!AE137)</f>
        <v>1155.82</v>
      </c>
      <c r="AF16" s="178">
        <f>IF($C$6="Retiree",cal!AF108,cal!AF137)</f>
        <v>1167.73</v>
      </c>
      <c r="AG16" s="178">
        <f>IF($C$6="Retiree",cal!AG108,cal!AG137)</f>
        <v>1031.9299999999998</v>
      </c>
      <c r="AH16" s="178">
        <f>IF($C$6="Retiree",cal!AH108,cal!AH137)</f>
        <v>1074.92</v>
      </c>
      <c r="AI16" s="180">
        <f>IF($C$6="Retiree",cal!AI108,cal!AI137)</f>
        <v>939.12</v>
      </c>
    </row>
    <row r="17" spans="1:35" x14ac:dyDescent="0.25">
      <c r="A17" s="12"/>
      <c r="B17" s="44" t="s">
        <v>91</v>
      </c>
      <c r="C17" s="49"/>
      <c r="D17" s="177">
        <f>IF($C$6="Retiree",cal!D109,cal!D138)</f>
        <v>398.82</v>
      </c>
      <c r="E17" s="178">
        <f>IF($C$6="Retiree",cal!E109,cal!E138)</f>
        <v>64.819999999999993</v>
      </c>
      <c r="F17" s="179">
        <f>IF($C$6="Retiree",cal!F109,cal!F138)</f>
        <v>461.6</v>
      </c>
      <c r="G17" s="180">
        <f>IF($C$6="Retiree",cal!G109,cal!G138)</f>
        <v>190</v>
      </c>
      <c r="H17" s="177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81"/>
      <c r="V17" s="177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80"/>
    </row>
    <row r="18" spans="1:35" ht="6" customHeight="1" x14ac:dyDescent="0.25">
      <c r="A18" s="12"/>
      <c r="B18" s="44"/>
      <c r="C18" s="49"/>
      <c r="D18" s="177"/>
      <c r="E18" s="178"/>
      <c r="F18" s="179"/>
      <c r="G18" s="180"/>
      <c r="H18" s="177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81"/>
      <c r="V18" s="177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80"/>
    </row>
    <row r="19" spans="1:35" x14ac:dyDescent="0.25">
      <c r="A19" s="38" t="s">
        <v>83</v>
      </c>
      <c r="B19" s="43"/>
      <c r="C19" s="48"/>
      <c r="D19" s="182"/>
      <c r="E19" s="183"/>
      <c r="F19" s="184"/>
      <c r="G19" s="185"/>
      <c r="H19" s="182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6"/>
      <c r="V19" s="182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5"/>
    </row>
    <row r="20" spans="1:35" x14ac:dyDescent="0.25">
      <c r="A20" s="12"/>
      <c r="B20" s="44" t="s">
        <v>92</v>
      </c>
      <c r="C20" s="49"/>
      <c r="D20" s="177"/>
      <c r="E20" s="178"/>
      <c r="F20" s="179"/>
      <c r="G20" s="180"/>
      <c r="H20" s="177">
        <f>IF($C$6="Retiree",cal!H112,cal!H141)</f>
        <v>940.65</v>
      </c>
      <c r="I20" s="178">
        <f>IF($C$6="Retiree",cal!I112,cal!I141)</f>
        <v>773.65</v>
      </c>
      <c r="J20" s="178">
        <f>IF($C$6="Retiree",cal!J112,cal!J141)</f>
        <v>896.19999999999993</v>
      </c>
      <c r="K20" s="178">
        <f>IF($C$6="Retiree",cal!K112,cal!K141)</f>
        <v>729.19999999999993</v>
      </c>
      <c r="L20" s="178">
        <f>IF($C$6="Retiree",cal!L112,cal!L141)</f>
        <v>862.25</v>
      </c>
      <c r="M20" s="178">
        <f>IF($C$6="Retiree",cal!M112,cal!M141)</f>
        <v>695.25</v>
      </c>
      <c r="N20" s="178">
        <f>IF($C$6="Retiree",cal!N112,cal!N141)</f>
        <v>914.65</v>
      </c>
      <c r="O20" s="178">
        <f>IF($C$6="Retiree",cal!O112,cal!O141)</f>
        <v>747.65</v>
      </c>
      <c r="P20" s="178">
        <f>IF($C$6="Retiree",cal!P112,cal!P141)</f>
        <v>941.98</v>
      </c>
      <c r="Q20" s="178">
        <f>IF($C$6="Retiree",cal!Q112,cal!Q141)</f>
        <v>774.98</v>
      </c>
      <c r="R20" s="178">
        <f>IF($C$6="Retiree",cal!R112,cal!R141)</f>
        <v>855.26</v>
      </c>
      <c r="S20" s="178">
        <f>IF($C$6="Retiree",cal!S112,cal!S141)</f>
        <v>688.26</v>
      </c>
      <c r="T20" s="178">
        <f>IF($C$6="Retiree",cal!T112,cal!T141)</f>
        <v>790.29</v>
      </c>
      <c r="U20" s="181">
        <f>IF($C$6="Retiree",cal!U112,cal!U141)</f>
        <v>623.29</v>
      </c>
      <c r="V20" s="177">
        <f>IF($C$6="Retiree",cal!V112,cal!V141)</f>
        <v>972.04</v>
      </c>
      <c r="W20" s="178">
        <f>IF($C$6="Retiree",cal!W112,cal!W141)</f>
        <v>836.24</v>
      </c>
      <c r="X20" s="178">
        <f>IF($C$6="Retiree",cal!X112,cal!X141)</f>
        <v>927.58999999999992</v>
      </c>
      <c r="Y20" s="178">
        <f>IF($C$6="Retiree",cal!Y112,cal!Y141)</f>
        <v>791.79</v>
      </c>
      <c r="Z20" s="178">
        <f>IF($C$6="Retiree",cal!Z112,cal!Z141)</f>
        <v>893.6400000000001</v>
      </c>
      <c r="AA20" s="178">
        <f>IF($C$6="Retiree",cal!AA112,cal!AA141)</f>
        <v>757.84</v>
      </c>
      <c r="AB20" s="178">
        <f>IF($C$6="Retiree",cal!AB112,cal!AB141)</f>
        <v>946.04</v>
      </c>
      <c r="AC20" s="178">
        <f>IF($C$6="Retiree",cal!AC112,cal!AC141)</f>
        <v>810.24</v>
      </c>
      <c r="AD20" s="178">
        <f>IF($C$6="Retiree",cal!AD112,cal!AD141)</f>
        <v>973.37000000000012</v>
      </c>
      <c r="AE20" s="178">
        <f>IF($C$6="Retiree",cal!AE112,cal!AE141)</f>
        <v>837.57</v>
      </c>
      <c r="AF20" s="178">
        <f>IF($C$6="Retiree",cal!AF112,cal!AF141)</f>
        <v>886.65000000000009</v>
      </c>
      <c r="AG20" s="178">
        <f>IF($C$6="Retiree",cal!AG112,cal!AG141)</f>
        <v>750.85</v>
      </c>
      <c r="AH20" s="178">
        <f>IF($C$6="Retiree",cal!AH112,cal!AH141)</f>
        <v>821.68000000000006</v>
      </c>
      <c r="AI20" s="180">
        <f>IF($C$6="Retiree",cal!AI112,cal!AI141)</f>
        <v>685.88</v>
      </c>
    </row>
    <row r="21" spans="1:35" ht="6" customHeight="1" x14ac:dyDescent="0.25">
      <c r="A21" s="12"/>
      <c r="B21" s="44"/>
      <c r="C21" s="49"/>
      <c r="D21" s="177"/>
      <c r="E21" s="178"/>
      <c r="F21" s="179"/>
      <c r="G21" s="180"/>
      <c r="H21" s="177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81"/>
      <c r="V21" s="177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80"/>
    </row>
    <row r="22" spans="1:35" x14ac:dyDescent="0.25">
      <c r="A22" s="38" t="s">
        <v>82</v>
      </c>
      <c r="B22" s="43"/>
      <c r="C22" s="48"/>
      <c r="D22" s="182"/>
      <c r="E22" s="183"/>
      <c r="F22" s="184"/>
      <c r="G22" s="185"/>
      <c r="H22" s="182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6"/>
      <c r="V22" s="182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5"/>
    </row>
    <row r="23" spans="1:35" x14ac:dyDescent="0.25">
      <c r="A23" s="12"/>
      <c r="B23" s="44" t="s">
        <v>93</v>
      </c>
      <c r="C23" s="49"/>
      <c r="D23" s="177"/>
      <c r="E23" s="178"/>
      <c r="F23" s="179"/>
      <c r="G23" s="180"/>
      <c r="H23" s="177">
        <f>IF($C$6="Retiree",cal!H115,cal!H144)</f>
        <v>1258.3200000000002</v>
      </c>
      <c r="I23" s="178">
        <f>IF($C$6="Retiree",cal!I115,cal!I144)</f>
        <v>1091.3200000000002</v>
      </c>
      <c r="J23" s="178">
        <f>IF($C$6="Retiree",cal!J115,cal!J144)</f>
        <v>1194.82</v>
      </c>
      <c r="K23" s="178">
        <f>IF($C$6="Retiree",cal!K115,cal!K144)</f>
        <v>1027.82</v>
      </c>
      <c r="L23" s="178">
        <f>IF($C$6="Retiree",cal!L115,cal!L144)</f>
        <v>1146.32</v>
      </c>
      <c r="M23" s="178">
        <f>IF($C$6="Retiree",cal!M115,cal!M144)</f>
        <v>979.31999999999994</v>
      </c>
      <c r="N23" s="178">
        <f>IF($C$6="Retiree",cal!N115,cal!N144)</f>
        <v>1221.18</v>
      </c>
      <c r="O23" s="178">
        <f>IF($C$6="Retiree",cal!O115,cal!O144)</f>
        <v>1054.18</v>
      </c>
      <c r="P23" s="178">
        <f>IF($C$6="Retiree",cal!P115,cal!P144)</f>
        <v>1260.23</v>
      </c>
      <c r="Q23" s="178">
        <f>IF($C$6="Retiree",cal!Q115,cal!Q144)</f>
        <v>1093.23</v>
      </c>
      <c r="R23" s="178">
        <f>IF($C$6="Retiree",cal!R115,cal!R144)</f>
        <v>1136.3399999999999</v>
      </c>
      <c r="S23" s="178">
        <f>IF($C$6="Retiree",cal!S115,cal!S144)</f>
        <v>969.33999999999992</v>
      </c>
      <c r="T23" s="178">
        <f>IF($C$6="Retiree",cal!T115,cal!T144)</f>
        <v>1043.53</v>
      </c>
      <c r="U23" s="181">
        <f>IF($C$6="Retiree",cal!U115,cal!U144)</f>
        <v>876.53</v>
      </c>
      <c r="V23" s="177">
        <f>IF($C$6="Retiree",cal!V115,cal!V144)</f>
        <v>1289.71</v>
      </c>
      <c r="W23" s="178">
        <f>IF($C$6="Retiree",cal!W115,cal!W144)</f>
        <v>1153.9100000000001</v>
      </c>
      <c r="X23" s="178">
        <f>IF($C$6="Retiree",cal!X115,cal!X144)</f>
        <v>1226.21</v>
      </c>
      <c r="Y23" s="178">
        <f>IF($C$6="Retiree",cal!Y115,cal!Y144)</f>
        <v>1090.4099999999999</v>
      </c>
      <c r="Z23" s="178">
        <f>IF($C$6="Retiree",cal!Z115,cal!Z144)</f>
        <v>1177.71</v>
      </c>
      <c r="AA23" s="178">
        <f>IF($C$6="Retiree",cal!AA115,cal!AA144)</f>
        <v>1041.9099999999999</v>
      </c>
      <c r="AB23" s="178">
        <f>IF($C$6="Retiree",cal!AB115,cal!AB144)</f>
        <v>1252.57</v>
      </c>
      <c r="AC23" s="178">
        <f>IF($C$6="Retiree",cal!AC115,cal!AC144)</f>
        <v>1116.77</v>
      </c>
      <c r="AD23" s="178">
        <f>IF($C$6="Retiree",cal!AD115,cal!AD144)</f>
        <v>1291.6199999999999</v>
      </c>
      <c r="AE23" s="178">
        <f>IF($C$6="Retiree",cal!AE115,cal!AE144)</f>
        <v>1155.82</v>
      </c>
      <c r="AF23" s="178">
        <f>IF($C$6="Retiree",cal!AF115,cal!AF144)</f>
        <v>1167.73</v>
      </c>
      <c r="AG23" s="178">
        <f>IF($C$6="Retiree",cal!AG115,cal!AG144)</f>
        <v>1031.9299999999998</v>
      </c>
      <c r="AH23" s="178">
        <f>IF($C$6="Retiree",cal!AH115,cal!AH144)</f>
        <v>1074.92</v>
      </c>
      <c r="AI23" s="180">
        <f>IF($C$6="Retiree",cal!AI115,cal!AI144)</f>
        <v>939.12</v>
      </c>
    </row>
    <row r="24" spans="1:35" x14ac:dyDescent="0.25">
      <c r="A24" s="12"/>
      <c r="B24" s="44" t="s">
        <v>94</v>
      </c>
      <c r="C24" s="49"/>
      <c r="D24" s="177">
        <f>IF($C$6="Retiree",cal!D116,cal!D145)</f>
        <v>398.82</v>
      </c>
      <c r="E24" s="178">
        <f>IF($C$6="Retiree",cal!E116,cal!E145)</f>
        <v>64.819999999999993</v>
      </c>
      <c r="F24" s="179">
        <f>IF($C$6="Retiree",cal!F116,cal!F145)</f>
        <v>461.6</v>
      </c>
      <c r="G24" s="180">
        <f>IF($C$6="Retiree",cal!G116,cal!G145)</f>
        <v>190</v>
      </c>
      <c r="H24" s="177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81"/>
      <c r="V24" s="177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80"/>
    </row>
    <row r="25" spans="1:35" ht="6" customHeight="1" x14ac:dyDescent="0.25">
      <c r="A25" s="12"/>
      <c r="B25" s="44"/>
      <c r="C25" s="49"/>
      <c r="D25" s="177"/>
      <c r="E25" s="178"/>
      <c r="F25" s="179"/>
      <c r="G25" s="180"/>
      <c r="H25" s="177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81"/>
      <c r="V25" s="177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80"/>
    </row>
    <row r="26" spans="1:35" x14ac:dyDescent="0.25">
      <c r="A26" s="38" t="s">
        <v>85</v>
      </c>
      <c r="B26" s="43"/>
      <c r="C26" s="48"/>
      <c r="D26" s="182"/>
      <c r="E26" s="183"/>
      <c r="F26" s="184"/>
      <c r="G26" s="185"/>
      <c r="H26" s="182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6"/>
      <c r="V26" s="182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5"/>
    </row>
    <row r="27" spans="1:35" x14ac:dyDescent="0.25">
      <c r="A27" s="12"/>
      <c r="B27" s="44" t="s">
        <v>95</v>
      </c>
      <c r="C27" s="49"/>
      <c r="D27" s="177"/>
      <c r="E27" s="178"/>
      <c r="F27" s="179"/>
      <c r="G27" s="180"/>
      <c r="H27" s="177">
        <f>IF($C$6="Retiree",cal!H119,cal!H148)</f>
        <v>2105.4499999999998</v>
      </c>
      <c r="I27" s="178">
        <f>IF($C$6="Retiree",cal!I119,cal!I148)</f>
        <v>1938.45</v>
      </c>
      <c r="J27" s="178">
        <f>IF($C$6="Retiree",cal!J119,cal!J148)</f>
        <v>1991.15</v>
      </c>
      <c r="K27" s="178">
        <f>IF($C$6="Retiree",cal!K119,cal!K148)</f>
        <v>1824.15</v>
      </c>
      <c r="L27" s="178">
        <f>IF($C$6="Retiree",cal!L119,cal!L148)</f>
        <v>1903.8500000000001</v>
      </c>
      <c r="M27" s="178">
        <f>IF($C$6="Retiree",cal!M119,cal!M148)</f>
        <v>1736.8500000000001</v>
      </c>
      <c r="N27" s="178">
        <f>IF($C$6="Retiree",cal!N119,cal!N148)</f>
        <v>2038.6000000000001</v>
      </c>
      <c r="O27" s="178">
        <f>IF($C$6="Retiree",cal!O119,cal!O148)</f>
        <v>1871.6000000000001</v>
      </c>
      <c r="P27" s="178">
        <f>IF($C$6="Retiree",cal!P119,cal!P148)</f>
        <v>2108.88</v>
      </c>
      <c r="Q27" s="178">
        <f>IF($C$6="Retiree",cal!Q119,cal!Q148)</f>
        <v>1941.8800000000003</v>
      </c>
      <c r="R27" s="178">
        <f>IF($C$6="Retiree",cal!R119,cal!R148)</f>
        <v>1885.8799999999999</v>
      </c>
      <c r="S27" s="178">
        <f>IF($C$6="Retiree",cal!S119,cal!S148)</f>
        <v>1718.8799999999999</v>
      </c>
      <c r="T27" s="178">
        <f>IF($C$6="Retiree",cal!T119,cal!T148)</f>
        <v>1634.41</v>
      </c>
      <c r="U27" s="181">
        <f>IF($C$6="Retiree",cal!U119,cal!U148)</f>
        <v>1467.41</v>
      </c>
      <c r="V27" s="177">
        <f>IF($C$6="Retiree",cal!V119,cal!V148)</f>
        <v>2136.84</v>
      </c>
      <c r="W27" s="178">
        <f>IF($C$6="Retiree",cal!W119,cal!W148)</f>
        <v>2001.04</v>
      </c>
      <c r="X27" s="178">
        <f>IF($C$6="Retiree",cal!X119,cal!X148)</f>
        <v>2022.54</v>
      </c>
      <c r="Y27" s="178">
        <f>IF($C$6="Retiree",cal!Y119,cal!Y148)</f>
        <v>1886.74</v>
      </c>
      <c r="Z27" s="178">
        <f>IF($C$6="Retiree",cal!Z119,cal!Z148)</f>
        <v>1935.24</v>
      </c>
      <c r="AA27" s="178">
        <f>IF($C$6="Retiree",cal!AA119,cal!AA148)</f>
        <v>1799.44</v>
      </c>
      <c r="AB27" s="178">
        <f>IF($C$6="Retiree",cal!AB119,cal!AB148)</f>
        <v>2069.9900000000002</v>
      </c>
      <c r="AC27" s="178">
        <f>IF($C$6="Retiree",cal!AC119,cal!AC148)</f>
        <v>1934.19</v>
      </c>
      <c r="AD27" s="178">
        <f>IF($C$6="Retiree",cal!AD119,cal!AD148)</f>
        <v>2140.2700000000004</v>
      </c>
      <c r="AE27" s="178">
        <f>IF($C$6="Retiree",cal!AE119,cal!AE148)</f>
        <v>2004.4700000000003</v>
      </c>
      <c r="AF27" s="178">
        <f>IF($C$6="Retiree",cal!AF119,cal!AF148)</f>
        <v>1917.2699999999998</v>
      </c>
      <c r="AG27" s="178">
        <f>IF($C$6="Retiree",cal!AG119,cal!AG148)</f>
        <v>1781.4699999999998</v>
      </c>
      <c r="AH27" s="178">
        <f>IF($C$6="Retiree",cal!AH119,cal!AH148)</f>
        <v>1665.8</v>
      </c>
      <c r="AI27" s="180">
        <f>IF($C$6="Retiree",cal!AI119,cal!AI148)</f>
        <v>1530</v>
      </c>
    </row>
    <row r="28" spans="1:35" x14ac:dyDescent="0.25">
      <c r="A28" s="12"/>
      <c r="B28" s="44" t="s">
        <v>96</v>
      </c>
      <c r="C28" s="49"/>
      <c r="D28" s="177"/>
      <c r="E28" s="178"/>
      <c r="F28" s="179"/>
      <c r="G28" s="180"/>
      <c r="H28" s="177">
        <f>IF($C$6="Retiree",cal!H120,cal!H149)</f>
        <v>1999.5600000000002</v>
      </c>
      <c r="I28" s="178">
        <f>IF($C$6="Retiree",cal!I120,cal!I149)</f>
        <v>1832.5600000000002</v>
      </c>
      <c r="J28" s="178">
        <f>IF($C$6="Retiree",cal!J120,cal!J149)</f>
        <v>1891.61</v>
      </c>
      <c r="K28" s="178">
        <f>IF($C$6="Retiree",cal!K120,cal!K149)</f>
        <v>1724.61</v>
      </c>
      <c r="L28" s="178">
        <f>IF($C$6="Retiree",cal!L120,cal!L149)</f>
        <v>1809.16</v>
      </c>
      <c r="M28" s="178">
        <f>IF($C$6="Retiree",cal!M120,cal!M149)</f>
        <v>1642.16</v>
      </c>
      <c r="N28" s="178">
        <f>IF($C$6="Retiree",cal!N120,cal!N149)</f>
        <v>1936.42</v>
      </c>
      <c r="O28" s="178">
        <f>IF($C$6="Retiree",cal!O120,cal!O149)</f>
        <v>1769.42</v>
      </c>
      <c r="P28" s="178">
        <f>IF($C$6="Retiree",cal!P120,cal!P149)</f>
        <v>2002.8</v>
      </c>
      <c r="Q28" s="178">
        <f>IF($C$6="Retiree",cal!Q120,cal!Q149)</f>
        <v>1835.8</v>
      </c>
      <c r="R28" s="178">
        <f>IF($C$6="Retiree",cal!R120,cal!R149)</f>
        <v>1792.19</v>
      </c>
      <c r="S28" s="178">
        <f>IF($C$6="Retiree",cal!S120,cal!S149)</f>
        <v>1625.19</v>
      </c>
      <c r="T28" s="178">
        <f>IF($C$6="Retiree",cal!T120,cal!T149)</f>
        <v>1634.41</v>
      </c>
      <c r="U28" s="181">
        <f>IF($C$6="Retiree",cal!U120,cal!U149)</f>
        <v>1467.41</v>
      </c>
      <c r="V28" s="177">
        <f>IF($C$6="Retiree",cal!V120,cal!V149)</f>
        <v>2030.95</v>
      </c>
      <c r="W28" s="178">
        <f>IF($C$6="Retiree",cal!W120,cal!W149)</f>
        <v>1895.15</v>
      </c>
      <c r="X28" s="178">
        <f>IF($C$6="Retiree",cal!X120,cal!X149)</f>
        <v>1922.9999999999998</v>
      </c>
      <c r="Y28" s="178">
        <f>IF($C$6="Retiree",cal!Y120,cal!Y149)</f>
        <v>1787.1999999999998</v>
      </c>
      <c r="Z28" s="178">
        <f>IF($C$6="Retiree",cal!Z120,cal!Z149)</f>
        <v>1840.55</v>
      </c>
      <c r="AA28" s="178">
        <f>IF($C$6="Retiree",cal!AA120,cal!AA149)</f>
        <v>1704.75</v>
      </c>
      <c r="AB28" s="178">
        <f>IF($C$6="Retiree",cal!AB120,cal!AB149)</f>
        <v>1967.81</v>
      </c>
      <c r="AC28" s="178">
        <f>IF($C$6="Retiree",cal!AC120,cal!AC149)</f>
        <v>1832.01</v>
      </c>
      <c r="AD28" s="178">
        <f>IF($C$6="Retiree",cal!AD120,cal!AD149)</f>
        <v>2034.1899999999998</v>
      </c>
      <c r="AE28" s="178">
        <f>IF($C$6="Retiree",cal!AE120,cal!AE149)</f>
        <v>1898.3899999999999</v>
      </c>
      <c r="AF28" s="178">
        <f>IF($C$6="Retiree",cal!AF120,cal!AF149)</f>
        <v>1823.58</v>
      </c>
      <c r="AG28" s="178">
        <f>IF($C$6="Retiree",cal!AG120,cal!AG149)</f>
        <v>1687.78</v>
      </c>
      <c r="AH28" s="178">
        <f>IF($C$6="Retiree",cal!AH120,cal!AH149)</f>
        <v>1665.8</v>
      </c>
      <c r="AI28" s="180">
        <f>IF($C$6="Retiree",cal!AI120,cal!AI149)</f>
        <v>1530</v>
      </c>
    </row>
    <row r="29" spans="1:35" x14ac:dyDescent="0.25">
      <c r="A29" s="12"/>
      <c r="B29" s="44" t="s">
        <v>97</v>
      </c>
      <c r="C29" s="49"/>
      <c r="D29" s="177"/>
      <c r="E29" s="178"/>
      <c r="F29" s="179"/>
      <c r="G29" s="180"/>
      <c r="H29" s="177">
        <f>IF($C$6="Retiree",cal!H121,cal!H150)</f>
        <v>1140.06</v>
      </c>
      <c r="I29" s="178">
        <f>IF($C$6="Retiree",cal!I121,cal!I150)</f>
        <v>806.06</v>
      </c>
      <c r="J29" s="178">
        <f>IF($C$6="Retiree",cal!J121,cal!J150)</f>
        <v>1095.6099999999999</v>
      </c>
      <c r="K29" s="178">
        <f>IF($C$6="Retiree",cal!K121,cal!K150)</f>
        <v>761.6099999999999</v>
      </c>
      <c r="L29" s="178">
        <f>IF($C$6="Retiree",cal!L121,cal!L150)</f>
        <v>1061.6600000000001</v>
      </c>
      <c r="M29" s="178">
        <f>IF($C$6="Retiree",cal!M121,cal!M150)</f>
        <v>727.66</v>
      </c>
      <c r="N29" s="178">
        <f>IF($C$6="Retiree",cal!N121,cal!N150)</f>
        <v>1114.06</v>
      </c>
      <c r="O29" s="178">
        <f>IF($C$6="Retiree",cal!O121,cal!O150)</f>
        <v>780.06</v>
      </c>
      <c r="P29" s="178">
        <f>IF($C$6="Retiree",cal!P121,cal!P150)</f>
        <v>1141.3900000000001</v>
      </c>
      <c r="Q29" s="178">
        <f>IF($C$6="Retiree",cal!Q121,cal!Q150)</f>
        <v>807.39</v>
      </c>
      <c r="R29" s="178">
        <f>IF($C$6="Retiree",cal!R121,cal!R150)</f>
        <v>1054.67</v>
      </c>
      <c r="S29" s="178">
        <f>IF($C$6="Retiree",cal!S121,cal!S150)</f>
        <v>720.67</v>
      </c>
      <c r="T29" s="178">
        <f>IF($C$6="Retiree",cal!T121,cal!T150)</f>
        <v>989.69999999999993</v>
      </c>
      <c r="U29" s="181">
        <f>IF($C$6="Retiree",cal!U121,cal!U150)</f>
        <v>655.69999999999993</v>
      </c>
      <c r="V29" s="177">
        <f>IF($C$6="Retiree",cal!V121,cal!V150)</f>
        <v>1202.8399999999999</v>
      </c>
      <c r="W29" s="178">
        <f>IF($C$6="Retiree",cal!W121,cal!W150)</f>
        <v>931.24</v>
      </c>
      <c r="X29" s="178">
        <f>IF($C$6="Retiree",cal!X121,cal!X150)</f>
        <v>1158.3899999999999</v>
      </c>
      <c r="Y29" s="178">
        <f>IF($C$6="Retiree",cal!Y121,cal!Y150)</f>
        <v>886.79</v>
      </c>
      <c r="Z29" s="178">
        <f>IF($C$6="Retiree",cal!Z121,cal!Z150)</f>
        <v>1124.44</v>
      </c>
      <c r="AA29" s="178">
        <f>IF($C$6="Retiree",cal!AA121,cal!AA150)</f>
        <v>852.84</v>
      </c>
      <c r="AB29" s="178">
        <f>IF($C$6="Retiree",cal!AB121,cal!AB150)</f>
        <v>1176.8399999999999</v>
      </c>
      <c r="AC29" s="178">
        <f>IF($C$6="Retiree",cal!AC121,cal!AC150)</f>
        <v>905.24</v>
      </c>
      <c r="AD29" s="178">
        <f>IF($C$6="Retiree",cal!AD121,cal!AD150)</f>
        <v>1204.17</v>
      </c>
      <c r="AE29" s="178">
        <f>IF($C$6="Retiree",cal!AE121,cal!AE150)</f>
        <v>932.57</v>
      </c>
      <c r="AF29" s="178">
        <f>IF($C$6="Retiree",cal!AF121,cal!AF150)</f>
        <v>1117.45</v>
      </c>
      <c r="AG29" s="178">
        <f>IF($C$6="Retiree",cal!AG121,cal!AG150)</f>
        <v>845.85</v>
      </c>
      <c r="AH29" s="178">
        <f>IF($C$6="Retiree",cal!AH121,cal!AH150)</f>
        <v>1052.48</v>
      </c>
      <c r="AI29" s="180">
        <f>IF($C$6="Retiree",cal!AI121,cal!AI150)</f>
        <v>780.88</v>
      </c>
    </row>
    <row r="30" spans="1:35" ht="6" customHeight="1" x14ac:dyDescent="0.25">
      <c r="A30" s="12"/>
      <c r="B30" s="44"/>
      <c r="C30" s="49"/>
      <c r="D30" s="177"/>
      <c r="E30" s="178"/>
      <c r="F30" s="179"/>
      <c r="G30" s="180"/>
      <c r="H30" s="177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81"/>
      <c r="V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80"/>
    </row>
    <row r="31" spans="1:35" x14ac:dyDescent="0.25">
      <c r="A31" s="38" t="s">
        <v>84</v>
      </c>
      <c r="B31" s="43"/>
      <c r="C31" s="48"/>
      <c r="D31" s="182"/>
      <c r="E31" s="183"/>
      <c r="F31" s="184"/>
      <c r="G31" s="185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6"/>
      <c r="V31" s="182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5"/>
    </row>
    <row r="32" spans="1:35" x14ac:dyDescent="0.25">
      <c r="A32" s="11"/>
      <c r="B32" s="7" t="s">
        <v>98</v>
      </c>
      <c r="C32" s="10"/>
      <c r="D32" s="177"/>
      <c r="E32" s="178"/>
      <c r="F32" s="179"/>
      <c r="G32" s="180"/>
      <c r="H32" s="177">
        <f>IF($C$6="Retiree",cal!H124,cal!H153)</f>
        <v>1563.6200000000001</v>
      </c>
      <c r="I32" s="178">
        <f>IF($C$6="Retiree",cal!I124,cal!I153)</f>
        <v>1229.6200000000001</v>
      </c>
      <c r="J32" s="178">
        <f>IF($C$6="Retiree",cal!J124,cal!J153)</f>
        <v>1493.7700000000002</v>
      </c>
      <c r="K32" s="178">
        <f>IF($C$6="Retiree",cal!K124,cal!K153)</f>
        <v>1159.7700000000002</v>
      </c>
      <c r="L32" s="178">
        <f>IF($C$6="Retiree",cal!L124,cal!L153)</f>
        <v>1440.42</v>
      </c>
      <c r="M32" s="178">
        <f>IF($C$6="Retiree",cal!M124,cal!M153)</f>
        <v>1106.42</v>
      </c>
      <c r="N32" s="178">
        <f>IF($C$6="Retiree",cal!N124,cal!N153)</f>
        <v>1522.7700000000002</v>
      </c>
      <c r="O32" s="178">
        <f>IF($C$6="Retiree",cal!O124,cal!O153)</f>
        <v>1188.7700000000002</v>
      </c>
      <c r="P32" s="178">
        <f>IF($C$6="Retiree",cal!P124,cal!P153)</f>
        <v>1565.7200000000003</v>
      </c>
      <c r="Q32" s="178">
        <f>IF($C$6="Retiree",cal!Q124,cal!Q153)</f>
        <v>1231.7200000000003</v>
      </c>
      <c r="R32" s="178">
        <f>IF($C$6="Retiree",cal!R124,cal!R153)</f>
        <v>1429.44</v>
      </c>
      <c r="S32" s="178">
        <f>IF($C$6="Retiree",cal!S124,cal!S153)</f>
        <v>1095.44</v>
      </c>
      <c r="T32" s="178">
        <f>IF($C$6="Retiree",cal!T124,cal!T153)</f>
        <v>1242.94</v>
      </c>
      <c r="U32" s="181">
        <f>IF($C$6="Retiree",cal!U124,cal!U153)</f>
        <v>908.93999999999994</v>
      </c>
      <c r="V32" s="177">
        <f>IF($C$6="Retiree",cal!V124,cal!V153)</f>
        <v>1626.3999999999999</v>
      </c>
      <c r="W32" s="178">
        <f>IF($C$6="Retiree",cal!W124,cal!W153)</f>
        <v>1354.8</v>
      </c>
      <c r="X32" s="178">
        <f>IF($C$6="Retiree",cal!X124,cal!X153)</f>
        <v>1556.55</v>
      </c>
      <c r="Y32" s="178">
        <f>IF($C$6="Retiree",cal!Y124,cal!Y153)</f>
        <v>1284.95</v>
      </c>
      <c r="Z32" s="178">
        <f>IF($C$6="Retiree",cal!Z124,cal!Z153)</f>
        <v>1503.1999999999998</v>
      </c>
      <c r="AA32" s="178">
        <f>IF($C$6="Retiree",cal!AA124,cal!AA153)</f>
        <v>1231.5999999999999</v>
      </c>
      <c r="AB32" s="178">
        <f>IF($C$6="Retiree",cal!AB124,cal!AB153)</f>
        <v>1585.55</v>
      </c>
      <c r="AC32" s="178">
        <f>IF($C$6="Retiree",cal!AC124,cal!AC153)</f>
        <v>1313.95</v>
      </c>
      <c r="AD32" s="178">
        <f>IF($C$6="Retiree",cal!AD124,cal!AD153)</f>
        <v>1628.5</v>
      </c>
      <c r="AE32" s="178">
        <f>IF($C$6="Retiree",cal!AE124,cal!AE153)</f>
        <v>1356.9</v>
      </c>
      <c r="AF32" s="178">
        <f>IF($C$6="Retiree",cal!AF124,cal!AF153)</f>
        <v>1492.2199999999998</v>
      </c>
      <c r="AG32" s="178">
        <f>IF($C$6="Retiree",cal!AG124,cal!AG153)</f>
        <v>1220.6199999999999</v>
      </c>
      <c r="AH32" s="178">
        <f>IF($C$6="Retiree",cal!AH124,cal!AH153)</f>
        <v>1305.72</v>
      </c>
      <c r="AI32" s="180">
        <f>IF($C$6="Retiree",cal!AI124,cal!AI153)</f>
        <v>1034.1199999999999</v>
      </c>
    </row>
    <row r="33" spans="1:35" x14ac:dyDescent="0.25">
      <c r="A33" s="11"/>
      <c r="B33" s="7" t="s">
        <v>99</v>
      </c>
      <c r="C33" s="10"/>
      <c r="D33" s="177"/>
      <c r="E33" s="178"/>
      <c r="F33" s="179"/>
      <c r="G33" s="180"/>
      <c r="H33" s="177">
        <f>IF($C$6="Retiree",cal!H125,cal!H154)</f>
        <v>1457.73</v>
      </c>
      <c r="I33" s="178">
        <f>IF($C$6="Retiree",cal!I125,cal!I154)</f>
        <v>1123.73</v>
      </c>
      <c r="J33" s="178">
        <f>IF($C$6="Retiree",cal!J125,cal!J154)</f>
        <v>1394.23</v>
      </c>
      <c r="K33" s="178">
        <f>IF($C$6="Retiree",cal!K125,cal!K154)</f>
        <v>1060.23</v>
      </c>
      <c r="L33" s="178">
        <f>IF($C$6="Retiree",cal!L125,cal!L154)</f>
        <v>1345.73</v>
      </c>
      <c r="M33" s="178">
        <f>IF($C$6="Retiree",cal!M125,cal!M154)</f>
        <v>1011.73</v>
      </c>
      <c r="N33" s="178">
        <f>IF($C$6="Retiree",cal!N125,cal!N154)</f>
        <v>1420.59</v>
      </c>
      <c r="O33" s="178">
        <f>IF($C$6="Retiree",cal!O125,cal!O154)</f>
        <v>1086.5899999999999</v>
      </c>
      <c r="P33" s="178">
        <f>IF($C$6="Retiree",cal!P125,cal!P154)</f>
        <v>1459.6399999999999</v>
      </c>
      <c r="Q33" s="178">
        <f>IF($C$6="Retiree",cal!Q125,cal!Q154)</f>
        <v>1125.6399999999999</v>
      </c>
      <c r="R33" s="178">
        <f>IF($C$6="Retiree",cal!R125,cal!R154)</f>
        <v>1335.75</v>
      </c>
      <c r="S33" s="178">
        <f>IF($C$6="Retiree",cal!S125,cal!S154)</f>
        <v>1001.75</v>
      </c>
      <c r="T33" s="178">
        <f>IF($C$6="Retiree",cal!T125,cal!T154)</f>
        <v>1242.94</v>
      </c>
      <c r="U33" s="181">
        <f>IF($C$6="Retiree",cal!U125,cal!U154)</f>
        <v>908.94</v>
      </c>
      <c r="V33" s="177">
        <f>IF($C$6="Retiree",cal!V125,cal!V154)</f>
        <v>1520.5100000000002</v>
      </c>
      <c r="W33" s="178">
        <f>IF($C$6="Retiree",cal!W125,cal!W154)</f>
        <v>1248.9100000000001</v>
      </c>
      <c r="X33" s="178">
        <f>IF($C$6="Retiree",cal!X125,cal!X154)</f>
        <v>1457.01</v>
      </c>
      <c r="Y33" s="178">
        <f>IF($C$6="Retiree",cal!Y125,cal!Y154)</f>
        <v>1185.4099999999999</v>
      </c>
      <c r="Z33" s="178">
        <f>IF($C$6="Retiree",cal!Z125,cal!Z154)</f>
        <v>1408.51</v>
      </c>
      <c r="AA33" s="178">
        <f>IF($C$6="Retiree",cal!AA125,cal!AA154)</f>
        <v>1136.9099999999999</v>
      </c>
      <c r="AB33" s="178">
        <f>IF($C$6="Retiree",cal!AB125,cal!AB154)</f>
        <v>1483.37</v>
      </c>
      <c r="AC33" s="178">
        <f>IF($C$6="Retiree",cal!AC125,cal!AC154)</f>
        <v>1211.77</v>
      </c>
      <c r="AD33" s="178">
        <f>IF($C$6="Retiree",cal!AD125,cal!AD154)</f>
        <v>1522.42</v>
      </c>
      <c r="AE33" s="178">
        <f>IF($C$6="Retiree",cal!AE125,cal!AE154)</f>
        <v>1250.82</v>
      </c>
      <c r="AF33" s="178">
        <f>IF($C$6="Retiree",cal!AF125,cal!AF154)</f>
        <v>1398.53</v>
      </c>
      <c r="AG33" s="178">
        <f>IF($C$6="Retiree",cal!AG125,cal!AG154)</f>
        <v>1126.9299999999998</v>
      </c>
      <c r="AH33" s="178">
        <f>IF($C$6="Retiree",cal!AH125,cal!AH154)</f>
        <v>1305.72</v>
      </c>
      <c r="AI33" s="180">
        <f>IF($C$6="Retiree",cal!AI125,cal!AI154)</f>
        <v>1034.1199999999999</v>
      </c>
    </row>
    <row r="34" spans="1:35" x14ac:dyDescent="0.25">
      <c r="A34" s="11"/>
      <c r="B34" s="7" t="s">
        <v>100</v>
      </c>
      <c r="C34" s="10"/>
      <c r="D34" s="177">
        <f>IF($C$6="Retiree",cal!D126,cal!D155)</f>
        <v>598.23</v>
      </c>
      <c r="E34" s="178">
        <f>IF($C$6="Retiree",cal!E126,cal!E155)</f>
        <v>97.22999999999999</v>
      </c>
      <c r="F34" s="179">
        <f>IF($C$6="Retiree",cal!F126,cal!F155)</f>
        <v>692.40000000000009</v>
      </c>
      <c r="G34" s="180">
        <f>IF($C$6="Retiree",cal!G126,cal!G155)</f>
        <v>285</v>
      </c>
      <c r="H34" s="177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81"/>
      <c r="V34" s="177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80"/>
    </row>
    <row r="35" spans="1:35" x14ac:dyDescent="0.25">
      <c r="A35" s="11"/>
      <c r="B35" s="7" t="s">
        <v>101</v>
      </c>
      <c r="C35" s="10"/>
      <c r="D35" s="177"/>
      <c r="E35" s="178"/>
      <c r="F35" s="179"/>
      <c r="G35" s="180"/>
      <c r="H35" s="177">
        <f>IF($C$6="Retiree",cal!H127,cal!H156)</f>
        <v>2423.12</v>
      </c>
      <c r="I35" s="178">
        <f>IF($C$6="Retiree",cal!I127,cal!I156)</f>
        <v>2256.12</v>
      </c>
      <c r="J35" s="178">
        <f>IF($C$6="Retiree",cal!J127,cal!J156)</f>
        <v>2289.77</v>
      </c>
      <c r="K35" s="178">
        <f>IF($C$6="Retiree",cal!K127,cal!K156)</f>
        <v>2122.77</v>
      </c>
      <c r="L35" s="178">
        <f>IF($C$6="Retiree",cal!L127,cal!L156)</f>
        <v>2187.9199999999996</v>
      </c>
      <c r="M35" s="178">
        <f>IF($C$6="Retiree",cal!M127,cal!M156)</f>
        <v>2020.9199999999998</v>
      </c>
      <c r="N35" s="178">
        <f>IF($C$6="Retiree",cal!N127,cal!N156)</f>
        <v>2345.13</v>
      </c>
      <c r="O35" s="178">
        <f>IF($C$6="Retiree",cal!O127,cal!O156)</f>
        <v>2178.13</v>
      </c>
      <c r="P35" s="178">
        <f>IF($C$6="Retiree",cal!P127,cal!P156)</f>
        <v>2427.13</v>
      </c>
      <c r="Q35" s="178">
        <f>IF($C$6="Retiree",cal!Q127,cal!Q156)</f>
        <v>2260.13</v>
      </c>
      <c r="R35" s="178">
        <f>IF($C$6="Retiree",cal!R127,cal!R156)</f>
        <v>2166.9599999999996</v>
      </c>
      <c r="S35" s="178">
        <f>IF($C$6="Retiree",cal!S127,cal!S156)</f>
        <v>1999.9599999999998</v>
      </c>
      <c r="T35" s="178">
        <f>IF($C$6="Retiree",cal!T127,cal!T156)</f>
        <v>1972.0600000000002</v>
      </c>
      <c r="U35" s="181">
        <f>IF($C$6="Retiree",cal!U127,cal!U156)</f>
        <v>1805.0600000000002</v>
      </c>
      <c r="V35" s="177">
        <f>IF($C$6="Retiree",cal!V127,cal!V156)</f>
        <v>2454.5100000000002</v>
      </c>
      <c r="W35" s="178">
        <f>IF($C$6="Retiree",cal!W127,cal!W156)</f>
        <v>2318.71</v>
      </c>
      <c r="X35" s="178">
        <f>IF($C$6="Retiree",cal!X127,cal!X156)</f>
        <v>2321.1600000000003</v>
      </c>
      <c r="Y35" s="178">
        <f>IF($C$6="Retiree",cal!Y127,cal!Y156)</f>
        <v>2185.36</v>
      </c>
      <c r="Z35" s="178">
        <f>IF($C$6="Retiree",cal!Z127,cal!Z156)</f>
        <v>2219.31</v>
      </c>
      <c r="AA35" s="178">
        <f>IF($C$6="Retiree",cal!AA127,cal!AA156)</f>
        <v>2083.5099999999998</v>
      </c>
      <c r="AB35" s="178">
        <f>IF($C$6="Retiree",cal!AB127,cal!AB156)</f>
        <v>2376.5200000000004</v>
      </c>
      <c r="AC35" s="178">
        <f>IF($C$6="Retiree",cal!AC127,cal!AC156)</f>
        <v>2240.7200000000003</v>
      </c>
      <c r="AD35" s="178">
        <f>IF($C$6="Retiree",cal!AD127,cal!AD156)</f>
        <v>2458.5200000000004</v>
      </c>
      <c r="AE35" s="178">
        <f>IF($C$6="Retiree",cal!AE127,cal!AE156)</f>
        <v>2322.7200000000003</v>
      </c>
      <c r="AF35" s="178">
        <f>IF($C$6="Retiree",cal!AF127,cal!AF156)</f>
        <v>2198.35</v>
      </c>
      <c r="AG35" s="178">
        <f>IF($C$6="Retiree",cal!AG127,cal!AG156)</f>
        <v>2062.5499999999997</v>
      </c>
      <c r="AH35" s="178">
        <f>IF($C$6="Retiree",cal!AH127,cal!AH156)</f>
        <v>2003.45</v>
      </c>
      <c r="AI35" s="180">
        <f>IF($C$6="Retiree",cal!AI127,cal!AI156)</f>
        <v>1867.65</v>
      </c>
    </row>
    <row r="36" spans="1:35" ht="5.55" customHeight="1" thickBot="1" x14ac:dyDescent="0.3">
      <c r="A36" s="13"/>
      <c r="B36" s="45"/>
      <c r="C36" s="29"/>
      <c r="D36" s="187"/>
      <c r="E36" s="188"/>
      <c r="F36" s="189"/>
      <c r="G36" s="190"/>
      <c r="H36" s="187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91"/>
      <c r="V36" s="187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90"/>
    </row>
    <row r="37" spans="1:35" x14ac:dyDescent="0.25">
      <c r="A37" s="28"/>
      <c r="B37" s="28"/>
      <c r="C37" s="2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</sheetData>
  <sheetProtection algorithmName="SHA-512" hashValue="Gj2qfDmuL2jk8UlOMwVHN11jfJv25d6zxQN2Ur//ldaNyEIsfyRyZHGqc65IMbijWhBW45h8poOEAoXndAMBGg==" saltValue="NNOaR0blYMij5gmDPp0cDA==" spinCount="100000" sheet="1" objects="1" scenarios="1" formatCells="0" formatColumns="0" formatRows="0"/>
  <mergeCells count="2">
    <mergeCell ref="D9:E9"/>
    <mergeCell ref="F9:G9"/>
  </mergeCells>
  <pageMargins left="0.19" right="0.7" top="0.75" bottom="0.75" header="0.3" footer="0.3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6AEA39-4C2C-483C-8235-AEA0AA65FBF7}">
          <x14:formula1>
            <xm:f>cal!$U$46:$U$47</xm:f>
          </x14:formula1>
          <xm:sqref>C6</xm:sqref>
        </x14:dataValidation>
        <x14:dataValidation type="list" allowBlank="1" showInputMessage="1" showErrorMessage="1" xr:uid="{FA70ECF5-D556-49CC-BCA1-4AEF20590FA6}">
          <x14:formula1>
            <xm:f>cal!$T$47:$T$68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1F8BB-3CC4-483D-9870-A68F0411A70D}">
  <sheetPr>
    <tabColor theme="9" tint="0.59999389629810485"/>
  </sheetPr>
  <dimension ref="A1:AK158"/>
  <sheetViews>
    <sheetView showGridLines="0" topLeftCell="K70" zoomScaleNormal="100" workbookViewId="0">
      <selection activeCell="K69" sqref="A1:XFD69"/>
    </sheetView>
  </sheetViews>
  <sheetFormatPr defaultColWidth="8.88671875" defaultRowHeight="13.2" x14ac:dyDescent="0.25"/>
  <cols>
    <col min="1" max="1" width="30.88671875" style="3" customWidth="1"/>
    <col min="2" max="2" width="13.88671875" style="3" customWidth="1"/>
    <col min="3" max="3" width="11" style="3" customWidth="1"/>
    <col min="4" max="35" width="12.109375" style="3" customWidth="1"/>
    <col min="36" max="36" width="8.88671875" style="3"/>
    <col min="37" max="37" width="10.88671875" style="3" bestFit="1" customWidth="1"/>
    <col min="38" max="16384" width="8.88671875" style="3"/>
  </cols>
  <sheetData>
    <row r="1" spans="1:15" hidden="1" x14ac:dyDescent="0.25">
      <c r="A1" s="3" t="s">
        <v>21</v>
      </c>
      <c r="B1" s="55">
        <v>2025</v>
      </c>
      <c r="E1" s="56" t="s">
        <v>106</v>
      </c>
      <c r="F1" s="56"/>
      <c r="G1" s="56"/>
      <c r="H1" s="56"/>
      <c r="I1" s="56"/>
      <c r="J1" s="56"/>
    </row>
    <row r="2" spans="1:15" hidden="1" x14ac:dyDescent="0.25">
      <c r="A2" s="3" t="s">
        <v>11</v>
      </c>
      <c r="B2" s="2"/>
      <c r="C2" s="57"/>
      <c r="G2" s="57"/>
    </row>
    <row r="3" spans="1:15" ht="14.55" hidden="1" customHeight="1" x14ac:dyDescent="0.25">
      <c r="B3" s="2"/>
      <c r="C3" s="197" t="s">
        <v>47</v>
      </c>
      <c r="D3" s="198"/>
      <c r="E3" s="198"/>
      <c r="F3" s="198"/>
      <c r="G3" s="198"/>
      <c r="H3" s="198"/>
      <c r="I3" s="198"/>
      <c r="J3" s="198"/>
    </row>
    <row r="4" spans="1:15" ht="14.55" hidden="1" customHeight="1" x14ac:dyDescent="0.25">
      <c r="B4" s="2"/>
      <c r="C4" s="199" t="s">
        <v>47</v>
      </c>
      <c r="D4" s="199"/>
      <c r="E4" s="199"/>
      <c r="F4" s="199"/>
      <c r="G4" s="199" t="s">
        <v>108</v>
      </c>
      <c r="H4" s="199"/>
      <c r="I4" s="199"/>
      <c r="J4" s="199"/>
    </row>
    <row r="5" spans="1:15" ht="39.6" hidden="1" x14ac:dyDescent="0.25">
      <c r="A5" s="58" t="s">
        <v>5</v>
      </c>
      <c r="B5" s="133" t="s">
        <v>36</v>
      </c>
      <c r="C5" s="133" t="s">
        <v>3</v>
      </c>
      <c r="D5" s="133" t="s">
        <v>0</v>
      </c>
      <c r="E5" s="133" t="s">
        <v>2</v>
      </c>
      <c r="F5" s="133" t="s">
        <v>1</v>
      </c>
      <c r="G5" s="133" t="s">
        <v>3</v>
      </c>
      <c r="H5" s="133" t="s">
        <v>0</v>
      </c>
      <c r="I5" s="133" t="s">
        <v>2</v>
      </c>
      <c r="J5" s="133" t="s">
        <v>1</v>
      </c>
    </row>
    <row r="6" spans="1:15" hidden="1" x14ac:dyDescent="0.25">
      <c r="A6" s="173" t="s">
        <v>6</v>
      </c>
      <c r="B6" s="175" t="s">
        <v>27</v>
      </c>
      <c r="C6" s="171">
        <v>1058.9100000000001</v>
      </c>
      <c r="D6" s="164">
        <v>1800.15</v>
      </c>
      <c r="E6" s="164">
        <v>2223.71</v>
      </c>
      <c r="F6" s="165">
        <v>2964.95</v>
      </c>
      <c r="G6" s="171">
        <v>194.67</v>
      </c>
      <c r="H6" s="164">
        <v>355.26</v>
      </c>
      <c r="I6" s="164">
        <v>482.76</v>
      </c>
      <c r="J6" s="165">
        <v>643.35</v>
      </c>
    </row>
    <row r="7" spans="1:15" hidden="1" x14ac:dyDescent="0.25">
      <c r="A7" s="173" t="s">
        <v>7</v>
      </c>
      <c r="B7" s="175" t="s">
        <v>28</v>
      </c>
      <c r="C7" s="171">
        <v>995.41</v>
      </c>
      <c r="D7" s="164">
        <v>1692.2</v>
      </c>
      <c r="E7" s="164">
        <v>2090.36</v>
      </c>
      <c r="F7" s="165">
        <v>2787.15</v>
      </c>
      <c r="G7" s="171">
        <v>131.16999999999999</v>
      </c>
      <c r="H7" s="164">
        <v>247.31</v>
      </c>
      <c r="I7" s="164">
        <v>349.41</v>
      </c>
      <c r="J7" s="165">
        <v>465.55</v>
      </c>
    </row>
    <row r="8" spans="1:15" hidden="1" x14ac:dyDescent="0.25">
      <c r="A8" s="173" t="s">
        <v>8</v>
      </c>
      <c r="B8" s="175" t="s">
        <v>29</v>
      </c>
      <c r="C8" s="171">
        <v>946.91</v>
      </c>
      <c r="D8" s="164">
        <v>1609.75</v>
      </c>
      <c r="E8" s="164">
        <v>1988.51</v>
      </c>
      <c r="F8" s="165">
        <v>2651.35</v>
      </c>
      <c r="G8" s="171">
        <v>82.67</v>
      </c>
      <c r="H8" s="164">
        <v>164.86</v>
      </c>
      <c r="I8" s="164">
        <v>247.56</v>
      </c>
      <c r="J8" s="165">
        <v>329.75</v>
      </c>
    </row>
    <row r="9" spans="1:15" hidden="1" x14ac:dyDescent="0.25">
      <c r="A9" s="173" t="s">
        <v>17</v>
      </c>
      <c r="B9" s="175" t="s">
        <v>30</v>
      </c>
      <c r="C9" s="171">
        <v>1021.77</v>
      </c>
      <c r="D9" s="164">
        <v>1737.01</v>
      </c>
      <c r="E9" s="164">
        <v>2145.7199999999998</v>
      </c>
      <c r="F9" s="165">
        <v>2860.96</v>
      </c>
      <c r="G9" s="171">
        <v>157.53</v>
      </c>
      <c r="H9" s="164">
        <v>292.12</v>
      </c>
      <c r="I9" s="164">
        <v>404.77</v>
      </c>
      <c r="J9" s="165">
        <v>539.36</v>
      </c>
    </row>
    <row r="10" spans="1:15" hidden="1" x14ac:dyDescent="0.25">
      <c r="A10" s="173" t="s">
        <v>18</v>
      </c>
      <c r="B10" s="175" t="s">
        <v>32</v>
      </c>
      <c r="C10" s="171">
        <v>1060.82</v>
      </c>
      <c r="D10" s="164">
        <v>1803.39</v>
      </c>
      <c r="E10" s="164">
        <v>2227.7199999999998</v>
      </c>
      <c r="F10" s="165">
        <v>2970.29</v>
      </c>
      <c r="G10" s="171">
        <v>196.58</v>
      </c>
      <c r="H10" s="164">
        <v>358.5</v>
      </c>
      <c r="I10" s="164">
        <v>486.77</v>
      </c>
      <c r="J10" s="165">
        <v>648.69000000000005</v>
      </c>
    </row>
    <row r="11" spans="1:15" hidden="1" x14ac:dyDescent="0.25">
      <c r="A11" s="173" t="s">
        <v>19</v>
      </c>
      <c r="B11" s="175" t="s">
        <v>33</v>
      </c>
      <c r="C11" s="171">
        <v>936.93</v>
      </c>
      <c r="D11" s="164">
        <v>1592.78</v>
      </c>
      <c r="E11" s="164">
        <v>1967.55</v>
      </c>
      <c r="F11" s="165">
        <v>2623.4</v>
      </c>
      <c r="G11" s="171">
        <v>72.69</v>
      </c>
      <c r="H11" s="164">
        <v>147.88999999999999</v>
      </c>
      <c r="I11" s="164">
        <v>226.6</v>
      </c>
      <c r="J11" s="165">
        <v>301.8</v>
      </c>
    </row>
    <row r="12" spans="1:15" hidden="1" x14ac:dyDescent="0.25">
      <c r="A12" s="174" t="s">
        <v>20</v>
      </c>
      <c r="B12" s="176" t="s">
        <v>31</v>
      </c>
      <c r="C12" s="172">
        <v>844.12</v>
      </c>
      <c r="D12" s="168">
        <v>1435</v>
      </c>
      <c r="E12" s="168">
        <v>1772.65</v>
      </c>
      <c r="F12" s="169">
        <v>2363.5300000000002</v>
      </c>
      <c r="G12" s="172">
        <v>157.53</v>
      </c>
      <c r="H12" s="168">
        <v>292.12</v>
      </c>
      <c r="I12" s="168">
        <v>404.77</v>
      </c>
      <c r="J12" s="169">
        <v>539.36</v>
      </c>
    </row>
    <row r="13" spans="1:15" hidden="1" x14ac:dyDescent="0.25">
      <c r="B13" s="2"/>
      <c r="C13" s="59"/>
      <c r="D13" s="59"/>
      <c r="E13" s="59"/>
      <c r="F13" s="59"/>
      <c r="G13" s="60"/>
      <c r="O13" s="61"/>
    </row>
    <row r="14" spans="1:15" hidden="1" x14ac:dyDescent="0.25">
      <c r="B14" s="2"/>
    </row>
    <row r="15" spans="1:15" ht="26.4" hidden="1" x14ac:dyDescent="0.25">
      <c r="A15" s="58" t="s">
        <v>5</v>
      </c>
      <c r="B15" s="170" t="s">
        <v>36</v>
      </c>
      <c r="C15" s="62" t="s">
        <v>58</v>
      </c>
      <c r="D15" s="62" t="s">
        <v>59</v>
      </c>
      <c r="E15" s="3" t="s">
        <v>50</v>
      </c>
      <c r="J15" s="63"/>
    </row>
    <row r="16" spans="1:15" hidden="1" x14ac:dyDescent="0.25">
      <c r="A16" s="64" t="s">
        <v>12</v>
      </c>
      <c r="B16" s="2" t="s">
        <v>35</v>
      </c>
      <c r="C16" s="171">
        <v>95</v>
      </c>
      <c r="D16" s="165">
        <v>82.59</v>
      </c>
      <c r="E16" s="3" t="s">
        <v>4</v>
      </c>
      <c r="G16" s="65"/>
      <c r="J16" s="63"/>
    </row>
    <row r="17" spans="1:10" hidden="1" x14ac:dyDescent="0.25">
      <c r="A17" s="64" t="s">
        <v>13</v>
      </c>
      <c r="B17" s="2" t="s">
        <v>34</v>
      </c>
      <c r="C17" s="171">
        <v>230.8</v>
      </c>
      <c r="D17" s="165">
        <v>218.39000000000001</v>
      </c>
      <c r="E17" s="3" t="s">
        <v>4</v>
      </c>
      <c r="G17" s="65"/>
      <c r="J17" s="63"/>
    </row>
    <row r="18" spans="1:10" hidden="1" x14ac:dyDescent="0.25">
      <c r="A18" s="64" t="s">
        <v>14</v>
      </c>
      <c r="B18" s="2" t="s">
        <v>35</v>
      </c>
      <c r="C18" s="171">
        <v>562.23</v>
      </c>
      <c r="D18" s="165">
        <v>82.59</v>
      </c>
      <c r="E18" s="3" t="s">
        <v>4</v>
      </c>
      <c r="G18" s="65"/>
      <c r="J18" s="63"/>
    </row>
    <row r="19" spans="1:10" hidden="1" x14ac:dyDescent="0.25">
      <c r="A19" s="64" t="s">
        <v>15</v>
      </c>
      <c r="B19" s="2" t="s">
        <v>34</v>
      </c>
      <c r="C19" s="171">
        <v>752.11</v>
      </c>
      <c r="D19" s="165">
        <v>218.39000000000001</v>
      </c>
      <c r="E19" s="3" t="s">
        <v>4</v>
      </c>
      <c r="G19" s="65"/>
      <c r="J19" s="63"/>
    </row>
    <row r="20" spans="1:10" hidden="1" x14ac:dyDescent="0.25">
      <c r="A20" s="64" t="s">
        <v>12</v>
      </c>
      <c r="B20" s="66" t="s">
        <v>72</v>
      </c>
      <c r="C20" s="171">
        <v>32.409999999999997</v>
      </c>
      <c r="D20" s="165">
        <v>20</v>
      </c>
      <c r="E20" s="67" t="s">
        <v>107</v>
      </c>
      <c r="G20" s="65"/>
      <c r="J20" s="63"/>
    </row>
    <row r="21" spans="1:10" hidden="1" x14ac:dyDescent="0.25">
      <c r="A21" s="64" t="s">
        <v>13</v>
      </c>
      <c r="B21" s="66" t="s">
        <v>73</v>
      </c>
      <c r="C21" s="171">
        <v>199.41</v>
      </c>
      <c r="D21" s="165">
        <v>187</v>
      </c>
      <c r="E21" s="63" t="str">
        <f>$E$20</f>
        <v>Anthem</v>
      </c>
      <c r="G21" s="65"/>
      <c r="J21" s="63"/>
    </row>
    <row r="22" spans="1:10" hidden="1" x14ac:dyDescent="0.25">
      <c r="A22" s="64" t="s">
        <v>14</v>
      </c>
      <c r="B22" s="2" t="str">
        <f>B20</f>
        <v>B8</v>
      </c>
      <c r="C22" s="171">
        <v>433.53000000000003</v>
      </c>
      <c r="D22" s="165">
        <v>20</v>
      </c>
      <c r="E22" s="63" t="str">
        <f>$E$20</f>
        <v>Anthem</v>
      </c>
      <c r="G22" s="65"/>
      <c r="J22" s="63"/>
    </row>
    <row r="23" spans="1:10" hidden="1" x14ac:dyDescent="0.25">
      <c r="A23" s="166" t="s">
        <v>15</v>
      </c>
      <c r="B23" s="167" t="str">
        <f>B21</f>
        <v>B7</v>
      </c>
      <c r="C23" s="172">
        <v>740.6</v>
      </c>
      <c r="D23" s="169">
        <v>187</v>
      </c>
      <c r="E23" s="63" t="str">
        <f>$E$20</f>
        <v>Anthem</v>
      </c>
      <c r="G23" s="65"/>
      <c r="J23" s="63"/>
    </row>
    <row r="24" spans="1:10" hidden="1" x14ac:dyDescent="0.25">
      <c r="B24" s="2"/>
      <c r="G24" s="65"/>
      <c r="J24" s="63"/>
    </row>
    <row r="25" spans="1:10" hidden="1" x14ac:dyDescent="0.25">
      <c r="A25" s="68"/>
      <c r="B25" s="2"/>
      <c r="J25" s="63"/>
    </row>
    <row r="26" spans="1:10" hidden="1" x14ac:dyDescent="0.25">
      <c r="A26" s="68" t="s">
        <v>53</v>
      </c>
      <c r="B26" s="69" t="s">
        <v>74</v>
      </c>
    </row>
    <row r="27" spans="1:10" hidden="1" x14ac:dyDescent="0.25">
      <c r="A27" s="70" t="s">
        <v>43</v>
      </c>
      <c r="B27" s="71"/>
      <c r="C27" s="72" t="s">
        <v>25</v>
      </c>
      <c r="D27" s="72"/>
      <c r="E27" s="73" t="s">
        <v>41</v>
      </c>
      <c r="F27" s="72"/>
      <c r="G27" s="73" t="s">
        <v>42</v>
      </c>
      <c r="H27" s="74"/>
    </row>
    <row r="28" spans="1:10" hidden="1" x14ac:dyDescent="0.25">
      <c r="A28" s="76"/>
      <c r="B28" s="77" t="s">
        <v>39</v>
      </c>
      <c r="C28" s="78" t="s">
        <v>40</v>
      </c>
      <c r="D28" s="79" t="s">
        <v>120</v>
      </c>
      <c r="E28" s="78" t="s">
        <v>40</v>
      </c>
      <c r="F28" s="79" t="s">
        <v>120</v>
      </c>
      <c r="G28" s="78" t="s">
        <v>40</v>
      </c>
      <c r="H28" s="71" t="s">
        <v>120</v>
      </c>
      <c r="J28" s="80" t="s">
        <v>36</v>
      </c>
    </row>
    <row r="29" spans="1:10" hidden="1" x14ac:dyDescent="0.25">
      <c r="A29" s="81" t="s">
        <v>6</v>
      </c>
      <c r="B29" s="75" t="s">
        <v>27</v>
      </c>
      <c r="C29" s="82">
        <f t="shared" ref="C29:C35" si="0">G6</f>
        <v>194.67</v>
      </c>
      <c r="D29" s="83">
        <f t="shared" ref="D29:D35" si="1">C6</f>
        <v>1058.9100000000001</v>
      </c>
      <c r="E29" s="82">
        <f t="shared" ref="E29:E35" si="2">I6-G6</f>
        <v>288.09000000000003</v>
      </c>
      <c r="F29" s="83">
        <f t="shared" ref="F29:F35" si="3">E6-C6</f>
        <v>1164.8</v>
      </c>
      <c r="G29" s="82">
        <f t="shared" ref="G29:G35" si="4">H6-G6</f>
        <v>160.59</v>
      </c>
      <c r="H29" s="84">
        <f t="shared" ref="H29:H35" si="5">D6-C6</f>
        <v>741.24</v>
      </c>
      <c r="J29" s="2" t="str">
        <f>B26&amp;B29</f>
        <v>GFB1</v>
      </c>
    </row>
    <row r="30" spans="1:10" hidden="1" x14ac:dyDescent="0.25">
      <c r="A30" s="81" t="s">
        <v>7</v>
      </c>
      <c r="B30" s="75" t="s">
        <v>28</v>
      </c>
      <c r="C30" s="82">
        <f t="shared" si="0"/>
        <v>131.16999999999999</v>
      </c>
      <c r="D30" s="83">
        <f t="shared" si="1"/>
        <v>995.41</v>
      </c>
      <c r="E30" s="82">
        <f t="shared" si="2"/>
        <v>218.24000000000004</v>
      </c>
      <c r="F30" s="83">
        <f t="shared" si="3"/>
        <v>1094.9500000000003</v>
      </c>
      <c r="G30" s="82">
        <f t="shared" si="4"/>
        <v>116.14000000000001</v>
      </c>
      <c r="H30" s="84">
        <f t="shared" si="5"/>
        <v>696.79000000000008</v>
      </c>
      <c r="J30" s="2" t="str">
        <f>B26&amp;B30</f>
        <v>GFB2</v>
      </c>
    </row>
    <row r="31" spans="1:10" hidden="1" x14ac:dyDescent="0.25">
      <c r="A31" s="81" t="s">
        <v>8</v>
      </c>
      <c r="B31" s="75" t="s">
        <v>29</v>
      </c>
      <c r="C31" s="82">
        <f t="shared" si="0"/>
        <v>82.67</v>
      </c>
      <c r="D31" s="83">
        <f t="shared" si="1"/>
        <v>946.91</v>
      </c>
      <c r="E31" s="82">
        <f t="shared" si="2"/>
        <v>164.89</v>
      </c>
      <c r="F31" s="83">
        <f t="shared" si="3"/>
        <v>1041.5999999999999</v>
      </c>
      <c r="G31" s="82">
        <f t="shared" si="4"/>
        <v>82.190000000000012</v>
      </c>
      <c r="H31" s="84">
        <f t="shared" si="5"/>
        <v>662.84</v>
      </c>
      <c r="J31" s="2" t="str">
        <f>B26&amp;B31</f>
        <v>GFB3</v>
      </c>
    </row>
    <row r="32" spans="1:10" hidden="1" x14ac:dyDescent="0.25">
      <c r="A32" s="81" t="s">
        <v>17</v>
      </c>
      <c r="B32" s="75" t="s">
        <v>30</v>
      </c>
      <c r="C32" s="82">
        <f t="shared" si="0"/>
        <v>157.53</v>
      </c>
      <c r="D32" s="83">
        <f t="shared" si="1"/>
        <v>1021.77</v>
      </c>
      <c r="E32" s="82">
        <f t="shared" si="2"/>
        <v>247.23999999999998</v>
      </c>
      <c r="F32" s="83">
        <f t="shared" si="3"/>
        <v>1123.9499999999998</v>
      </c>
      <c r="G32" s="82">
        <f t="shared" si="4"/>
        <v>134.59</v>
      </c>
      <c r="H32" s="84">
        <f t="shared" si="5"/>
        <v>715.24</v>
      </c>
      <c r="J32" s="2" t="str">
        <f>B26&amp;B32</f>
        <v>GFB6</v>
      </c>
    </row>
    <row r="33" spans="1:21" hidden="1" x14ac:dyDescent="0.25">
      <c r="A33" s="81" t="s">
        <v>18</v>
      </c>
      <c r="B33" s="75" t="s">
        <v>32</v>
      </c>
      <c r="C33" s="82">
        <f t="shared" si="0"/>
        <v>196.58</v>
      </c>
      <c r="D33" s="83">
        <f t="shared" si="1"/>
        <v>1060.82</v>
      </c>
      <c r="E33" s="82">
        <f t="shared" si="2"/>
        <v>290.18999999999994</v>
      </c>
      <c r="F33" s="83">
        <f t="shared" si="3"/>
        <v>1166.8999999999999</v>
      </c>
      <c r="G33" s="82">
        <f t="shared" si="4"/>
        <v>161.91999999999999</v>
      </c>
      <c r="H33" s="84">
        <f t="shared" si="5"/>
        <v>742.57000000000016</v>
      </c>
      <c r="J33" s="2" t="str">
        <f>B26&amp;B33</f>
        <v>GFH1</v>
      </c>
    </row>
    <row r="34" spans="1:21" hidden="1" x14ac:dyDescent="0.25">
      <c r="A34" s="81" t="s">
        <v>19</v>
      </c>
      <c r="B34" s="75" t="s">
        <v>33</v>
      </c>
      <c r="C34" s="82">
        <f t="shared" si="0"/>
        <v>72.69</v>
      </c>
      <c r="D34" s="83">
        <f t="shared" si="1"/>
        <v>936.93</v>
      </c>
      <c r="E34" s="82">
        <f t="shared" si="2"/>
        <v>153.91</v>
      </c>
      <c r="F34" s="83">
        <f t="shared" si="3"/>
        <v>1030.6199999999999</v>
      </c>
      <c r="G34" s="82">
        <f t="shared" si="4"/>
        <v>75.199999999999989</v>
      </c>
      <c r="H34" s="84">
        <f t="shared" si="5"/>
        <v>655.85</v>
      </c>
      <c r="J34" s="2" t="str">
        <f>B26&amp;B34</f>
        <v>GFH2</v>
      </c>
    </row>
    <row r="35" spans="1:21" hidden="1" x14ac:dyDescent="0.25">
      <c r="A35" s="81" t="s">
        <v>20</v>
      </c>
      <c r="B35" s="75" t="s">
        <v>31</v>
      </c>
      <c r="C35" s="82">
        <f t="shared" si="0"/>
        <v>157.53</v>
      </c>
      <c r="D35" s="83">
        <f t="shared" si="1"/>
        <v>844.12</v>
      </c>
      <c r="E35" s="82">
        <f t="shared" si="2"/>
        <v>247.23999999999998</v>
      </c>
      <c r="F35" s="83">
        <f t="shared" si="3"/>
        <v>928.53000000000009</v>
      </c>
      <c r="G35" s="82">
        <f t="shared" si="4"/>
        <v>134.59</v>
      </c>
      <c r="H35" s="84">
        <f t="shared" si="5"/>
        <v>590.88</v>
      </c>
      <c r="J35" s="2" t="str">
        <f>B26&amp;B35</f>
        <v>GFK1</v>
      </c>
    </row>
    <row r="36" spans="1:21" hidden="1" x14ac:dyDescent="0.25">
      <c r="A36" s="85" t="str">
        <f>$E$20&amp;" MA Standard"</f>
        <v>Anthem MA Standard</v>
      </c>
      <c r="B36" s="4" t="s">
        <v>72</v>
      </c>
      <c r="C36" s="82">
        <f>D20</f>
        <v>20</v>
      </c>
      <c r="D36" s="129">
        <f>C36</f>
        <v>20</v>
      </c>
      <c r="E36" s="82">
        <f t="shared" ref="E36:F39" si="6">C36</f>
        <v>20</v>
      </c>
      <c r="F36" s="83">
        <f t="shared" si="6"/>
        <v>20</v>
      </c>
      <c r="G36" s="82">
        <f t="shared" ref="G36:H39" si="7">C36</f>
        <v>20</v>
      </c>
      <c r="H36" s="84">
        <f t="shared" si="7"/>
        <v>20</v>
      </c>
      <c r="J36" s="2" t="str">
        <f>B26&amp;B36</f>
        <v>GFB8</v>
      </c>
    </row>
    <row r="37" spans="1:21" hidden="1" x14ac:dyDescent="0.25">
      <c r="A37" s="85" t="str">
        <f>$E$20&amp;" MA Premium"</f>
        <v>Anthem MA Premium</v>
      </c>
      <c r="B37" s="4" t="s">
        <v>73</v>
      </c>
      <c r="C37" s="86">
        <f>D21</f>
        <v>187</v>
      </c>
      <c r="D37" s="130">
        <f>C37</f>
        <v>187</v>
      </c>
      <c r="E37" s="86">
        <f t="shared" si="6"/>
        <v>187</v>
      </c>
      <c r="F37" s="87">
        <f t="shared" si="6"/>
        <v>187</v>
      </c>
      <c r="G37" s="86">
        <f t="shared" si="7"/>
        <v>187</v>
      </c>
      <c r="H37" s="88">
        <f t="shared" si="7"/>
        <v>187</v>
      </c>
      <c r="J37" s="2" t="str">
        <f>B26&amp;B37</f>
        <v>GFB7</v>
      </c>
    </row>
    <row r="38" spans="1:21" hidden="1" x14ac:dyDescent="0.25">
      <c r="A38" s="76" t="s">
        <v>48</v>
      </c>
      <c r="B38" s="75" t="s">
        <v>35</v>
      </c>
      <c r="C38" s="82">
        <f>D16</f>
        <v>82.59</v>
      </c>
      <c r="D38" s="83">
        <f>C38</f>
        <v>82.59</v>
      </c>
      <c r="E38" s="82">
        <f t="shared" si="6"/>
        <v>82.59</v>
      </c>
      <c r="F38" s="83">
        <f t="shared" si="6"/>
        <v>82.59</v>
      </c>
      <c r="G38" s="82">
        <f t="shared" si="7"/>
        <v>82.59</v>
      </c>
      <c r="H38" s="84">
        <f t="shared" si="7"/>
        <v>82.59</v>
      </c>
      <c r="J38" s="2" t="str">
        <f>B26&amp;B38</f>
        <v>GFH4</v>
      </c>
    </row>
    <row r="39" spans="1:21" hidden="1" x14ac:dyDescent="0.25">
      <c r="A39" s="89" t="s">
        <v>49</v>
      </c>
      <c r="B39" s="90" t="s">
        <v>34</v>
      </c>
      <c r="C39" s="86">
        <f>D17</f>
        <v>218.39000000000001</v>
      </c>
      <c r="D39" s="88">
        <f>C39</f>
        <v>218.39000000000001</v>
      </c>
      <c r="E39" s="86">
        <f t="shared" si="6"/>
        <v>218.39000000000001</v>
      </c>
      <c r="F39" s="87">
        <f t="shared" si="6"/>
        <v>218.39000000000001</v>
      </c>
      <c r="G39" s="86">
        <f t="shared" si="7"/>
        <v>218.39000000000001</v>
      </c>
      <c r="H39" s="88">
        <f t="shared" si="7"/>
        <v>218.39000000000001</v>
      </c>
      <c r="J39" s="2" t="str">
        <f>B26&amp;B39</f>
        <v>GFH3</v>
      </c>
    </row>
    <row r="40" spans="1:21" hidden="1" x14ac:dyDescent="0.25">
      <c r="B40" s="79"/>
      <c r="C40" s="7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R40" s="2"/>
    </row>
    <row r="41" spans="1:21" hidden="1" x14ac:dyDescent="0.25">
      <c r="A41" s="3" t="s">
        <v>44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21" hidden="1" x14ac:dyDescent="0.25">
      <c r="A42" s="3" t="s">
        <v>45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21" hidden="1" x14ac:dyDescent="0.25">
      <c r="A43" s="3" t="s">
        <v>46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21" hidden="1" x14ac:dyDescent="0.25">
      <c r="A44" s="1" t="s">
        <v>55</v>
      </c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1"/>
    </row>
    <row r="45" spans="1:21" hidden="1" x14ac:dyDescent="0.25">
      <c r="B45" s="2"/>
      <c r="D45" s="3" t="s">
        <v>63</v>
      </c>
      <c r="T45" s="93" t="s">
        <v>76</v>
      </c>
      <c r="U45" s="93"/>
    </row>
    <row r="46" spans="1:21" hidden="1" x14ac:dyDescent="0.25">
      <c r="A46" s="68" t="s">
        <v>56</v>
      </c>
      <c r="B46" s="94" t="s">
        <v>16</v>
      </c>
      <c r="C46" s="94" t="s">
        <v>54</v>
      </c>
      <c r="D46" s="94" t="s">
        <v>10</v>
      </c>
      <c r="E46" s="94" t="s">
        <v>9</v>
      </c>
      <c r="F46" s="94" t="s">
        <v>64</v>
      </c>
      <c r="G46" s="94" t="s">
        <v>65</v>
      </c>
      <c r="H46" s="94" t="s">
        <v>16</v>
      </c>
      <c r="I46" s="94" t="s">
        <v>54</v>
      </c>
      <c r="J46" s="57" t="s">
        <v>60</v>
      </c>
      <c r="Q46" s="68"/>
      <c r="T46" s="95" t="s">
        <v>74</v>
      </c>
      <c r="U46" s="95" t="s">
        <v>16</v>
      </c>
    </row>
    <row r="47" spans="1:21" hidden="1" x14ac:dyDescent="0.25">
      <c r="A47" s="96" t="s">
        <v>75</v>
      </c>
      <c r="B47" s="97">
        <v>1</v>
      </c>
      <c r="C47" s="98">
        <v>1</v>
      </c>
      <c r="H47" s="139">
        <v>1</v>
      </c>
      <c r="I47" s="140">
        <v>1</v>
      </c>
      <c r="J47" s="57"/>
      <c r="Q47" s="68"/>
      <c r="T47" s="95" t="str">
        <f t="shared" ref="T47:T68" si="8">A47</f>
        <v>0-9</v>
      </c>
      <c r="U47" s="95" t="s">
        <v>133</v>
      </c>
    </row>
    <row r="48" spans="1:21" hidden="1" x14ac:dyDescent="0.25">
      <c r="A48" s="96">
        <v>10</v>
      </c>
      <c r="B48" s="97">
        <v>0.85</v>
      </c>
      <c r="C48" s="97">
        <v>0.85</v>
      </c>
      <c r="H48" s="139">
        <v>0.85</v>
      </c>
      <c r="I48" s="139">
        <v>0.85</v>
      </c>
      <c r="J48" s="57"/>
      <c r="Q48" s="68"/>
      <c r="T48" s="95">
        <f t="shared" si="8"/>
        <v>10</v>
      </c>
      <c r="U48" s="93"/>
    </row>
    <row r="49" spans="1:21" hidden="1" x14ac:dyDescent="0.25">
      <c r="A49" s="96">
        <f t="shared" ref="A49:A67" si="9">A48+1</f>
        <v>11</v>
      </c>
      <c r="B49" s="97">
        <f t="shared" ref="B49:B68" si="10">B48-3%</f>
        <v>0.82</v>
      </c>
      <c r="C49" s="97">
        <f t="shared" ref="C49:C68" si="11">C48-2%</f>
        <v>0.83</v>
      </c>
      <c r="H49" s="139">
        <f t="shared" ref="H49:H68" si="12">H48-3%</f>
        <v>0.82</v>
      </c>
      <c r="I49" s="139">
        <f t="shared" ref="I49:I68" si="13">I48-2%</f>
        <v>0.83</v>
      </c>
      <c r="Q49" s="68"/>
      <c r="T49" s="95">
        <f t="shared" si="8"/>
        <v>11</v>
      </c>
      <c r="U49" s="93"/>
    </row>
    <row r="50" spans="1:21" hidden="1" x14ac:dyDescent="0.25">
      <c r="A50" s="96">
        <f t="shared" si="9"/>
        <v>12</v>
      </c>
      <c r="B50" s="97">
        <f t="shared" si="10"/>
        <v>0.78999999999999992</v>
      </c>
      <c r="C50" s="97">
        <f t="shared" si="11"/>
        <v>0.80999999999999994</v>
      </c>
      <c r="H50" s="139">
        <f t="shared" si="12"/>
        <v>0.78999999999999992</v>
      </c>
      <c r="I50" s="139">
        <f t="shared" si="13"/>
        <v>0.80999999999999994</v>
      </c>
      <c r="Q50" s="68"/>
      <c r="T50" s="95">
        <f t="shared" si="8"/>
        <v>12</v>
      </c>
      <c r="U50" s="93"/>
    </row>
    <row r="51" spans="1:21" hidden="1" x14ac:dyDescent="0.25">
      <c r="A51" s="96">
        <f t="shared" si="9"/>
        <v>13</v>
      </c>
      <c r="B51" s="97">
        <f t="shared" si="10"/>
        <v>0.7599999999999999</v>
      </c>
      <c r="C51" s="97">
        <f t="shared" si="11"/>
        <v>0.78999999999999992</v>
      </c>
      <c r="H51" s="139">
        <f t="shared" si="12"/>
        <v>0.7599999999999999</v>
      </c>
      <c r="I51" s="139">
        <f t="shared" si="13"/>
        <v>0.78999999999999992</v>
      </c>
      <c r="K51" s="3" t="s">
        <v>61</v>
      </c>
      <c r="Q51" s="68"/>
      <c r="T51" s="95">
        <f t="shared" si="8"/>
        <v>13</v>
      </c>
      <c r="U51" s="93"/>
    </row>
    <row r="52" spans="1:21" hidden="1" x14ac:dyDescent="0.25">
      <c r="A52" s="96">
        <f t="shared" si="9"/>
        <v>14</v>
      </c>
      <c r="B52" s="97">
        <f t="shared" si="10"/>
        <v>0.72999999999999987</v>
      </c>
      <c r="C52" s="97">
        <f t="shared" si="11"/>
        <v>0.76999999999999991</v>
      </c>
      <c r="H52" s="139">
        <f t="shared" si="12"/>
        <v>0.72999999999999987</v>
      </c>
      <c r="I52" s="139">
        <f t="shared" si="13"/>
        <v>0.76999999999999991</v>
      </c>
      <c r="K52" s="3" t="s">
        <v>62</v>
      </c>
      <c r="Q52" s="68"/>
      <c r="T52" s="95">
        <f t="shared" si="8"/>
        <v>14</v>
      </c>
      <c r="U52" s="93"/>
    </row>
    <row r="53" spans="1:21" hidden="1" x14ac:dyDescent="0.25">
      <c r="A53" s="96">
        <f t="shared" si="9"/>
        <v>15</v>
      </c>
      <c r="B53" s="97">
        <f t="shared" si="10"/>
        <v>0.69999999999999984</v>
      </c>
      <c r="C53" s="97">
        <f t="shared" si="11"/>
        <v>0.74999999999999989</v>
      </c>
      <c r="H53" s="139">
        <f t="shared" si="12"/>
        <v>0.69999999999999984</v>
      </c>
      <c r="I53" s="139">
        <f t="shared" si="13"/>
        <v>0.74999999999999989</v>
      </c>
      <c r="L53" s="3" t="s">
        <v>70</v>
      </c>
      <c r="Q53" s="68"/>
      <c r="T53" s="95">
        <f t="shared" si="8"/>
        <v>15</v>
      </c>
      <c r="U53" s="93"/>
    </row>
    <row r="54" spans="1:21" hidden="1" x14ac:dyDescent="0.25">
      <c r="A54" s="96">
        <f t="shared" si="9"/>
        <v>16</v>
      </c>
      <c r="B54" s="97">
        <f t="shared" si="10"/>
        <v>0.66999999999999982</v>
      </c>
      <c r="C54" s="97">
        <f t="shared" si="11"/>
        <v>0.72999999999999987</v>
      </c>
      <c r="H54" s="139">
        <f t="shared" si="12"/>
        <v>0.66999999999999982</v>
      </c>
      <c r="I54" s="139">
        <f t="shared" si="13"/>
        <v>0.72999999999999987</v>
      </c>
      <c r="L54" s="3" t="s">
        <v>25</v>
      </c>
      <c r="M54" s="3" t="s">
        <v>68</v>
      </c>
      <c r="N54" s="3" t="s">
        <v>69</v>
      </c>
      <c r="Q54" s="68"/>
      <c r="T54" s="95">
        <f t="shared" si="8"/>
        <v>16</v>
      </c>
      <c r="U54" s="93"/>
    </row>
    <row r="55" spans="1:21" hidden="1" x14ac:dyDescent="0.25">
      <c r="A55" s="96">
        <f t="shared" si="9"/>
        <v>17</v>
      </c>
      <c r="B55" s="97">
        <f t="shared" si="10"/>
        <v>0.63999999999999979</v>
      </c>
      <c r="C55" s="97">
        <f t="shared" si="11"/>
        <v>0.70999999999999985</v>
      </c>
      <c r="H55" s="139">
        <f t="shared" si="12"/>
        <v>0.63999999999999979</v>
      </c>
      <c r="I55" s="139">
        <f t="shared" si="13"/>
        <v>0.70999999999999985</v>
      </c>
      <c r="K55" s="3" t="s">
        <v>10</v>
      </c>
      <c r="L55" s="99">
        <f>C31/D31</f>
        <v>8.7305023708694598E-2</v>
      </c>
      <c r="M55" s="99">
        <f>MIN(E31/F31+20%,1)</f>
        <v>0.3583045314900154</v>
      </c>
      <c r="N55" s="99">
        <f>MIN(G31/H31+20%,1)</f>
        <v>0.32399674129503353</v>
      </c>
      <c r="Q55" s="68"/>
      <c r="T55" s="95">
        <f t="shared" si="8"/>
        <v>17</v>
      </c>
      <c r="U55" s="93"/>
    </row>
    <row r="56" spans="1:21" hidden="1" x14ac:dyDescent="0.25">
      <c r="A56" s="96">
        <f t="shared" si="9"/>
        <v>18</v>
      </c>
      <c r="B56" s="97">
        <f t="shared" si="10"/>
        <v>0.60999999999999976</v>
      </c>
      <c r="C56" s="97">
        <f t="shared" si="11"/>
        <v>0.68999999999999984</v>
      </c>
      <c r="H56" s="139">
        <f t="shared" si="12"/>
        <v>0.60999999999999976</v>
      </c>
      <c r="I56" s="139">
        <f t="shared" si="13"/>
        <v>0.68999999999999984</v>
      </c>
      <c r="K56" s="3" t="s">
        <v>9</v>
      </c>
      <c r="L56" s="99">
        <f>C35/D35</f>
        <v>0.18662038572714779</v>
      </c>
      <c r="M56" s="99">
        <f>MIN(E35/F35+20%,1)</f>
        <v>0.46627034129214995</v>
      </c>
      <c r="N56" s="99">
        <f>MIN(G35/H35+20%,1)</f>
        <v>0.42777890603845115</v>
      </c>
      <c r="Q56" s="68"/>
      <c r="T56" s="95">
        <f t="shared" si="8"/>
        <v>18</v>
      </c>
      <c r="U56" s="93"/>
    </row>
    <row r="57" spans="1:21" hidden="1" x14ac:dyDescent="0.25">
      <c r="A57" s="96">
        <f t="shared" si="9"/>
        <v>19</v>
      </c>
      <c r="B57" s="97">
        <f t="shared" si="10"/>
        <v>0.57999999999999974</v>
      </c>
      <c r="C57" s="97">
        <f t="shared" si="11"/>
        <v>0.66999999999999982</v>
      </c>
      <c r="H57" s="139">
        <f t="shared" si="12"/>
        <v>0.57999999999999974</v>
      </c>
      <c r="I57" s="139">
        <f t="shared" si="13"/>
        <v>0.66999999999999982</v>
      </c>
      <c r="K57" s="125" t="s">
        <v>66</v>
      </c>
      <c r="L57" s="99">
        <f>IFERROR(MIN(D20,D16)/MIN(C20,C16),0)</f>
        <v>0.61709348966368416</v>
      </c>
      <c r="M57" s="99">
        <f>MIN(L57+20%,1)</f>
        <v>0.81709348966368411</v>
      </c>
      <c r="N57" s="99">
        <f>M57</f>
        <v>0.81709348966368411</v>
      </c>
      <c r="Q57" s="68"/>
      <c r="T57" s="95">
        <f t="shared" si="8"/>
        <v>19</v>
      </c>
      <c r="U57" s="93"/>
    </row>
    <row r="58" spans="1:21" hidden="1" x14ac:dyDescent="0.25">
      <c r="A58" s="96">
        <f t="shared" si="9"/>
        <v>20</v>
      </c>
      <c r="B58" s="97">
        <f t="shared" si="10"/>
        <v>0.54999999999999971</v>
      </c>
      <c r="C58" s="97">
        <f t="shared" si="11"/>
        <v>0.6499999999999998</v>
      </c>
      <c r="H58" s="139">
        <f t="shared" si="12"/>
        <v>0.54999999999999971</v>
      </c>
      <c r="I58" s="139">
        <f t="shared" si="13"/>
        <v>0.6499999999999998</v>
      </c>
      <c r="K58" s="137" t="s">
        <v>67</v>
      </c>
      <c r="L58" s="138">
        <f>D17/C17</f>
        <v>0.94623050259965336</v>
      </c>
      <c r="M58" s="138">
        <f>MIN(L58+20%,1)</f>
        <v>1</v>
      </c>
      <c r="N58" s="138">
        <f>M58</f>
        <v>1</v>
      </c>
      <c r="Q58" s="68"/>
      <c r="T58" s="95">
        <f t="shared" si="8"/>
        <v>20</v>
      </c>
      <c r="U58" s="93"/>
    </row>
    <row r="59" spans="1:21" hidden="1" x14ac:dyDescent="0.25">
      <c r="A59" s="96">
        <f t="shared" si="9"/>
        <v>21</v>
      </c>
      <c r="B59" s="97">
        <f t="shared" si="10"/>
        <v>0.51999999999999968</v>
      </c>
      <c r="C59" s="97">
        <f t="shared" si="11"/>
        <v>0.62999999999999978</v>
      </c>
      <c r="H59" s="139">
        <f t="shared" si="12"/>
        <v>0.51999999999999968</v>
      </c>
      <c r="I59" s="139">
        <f t="shared" si="13"/>
        <v>0.62999999999999978</v>
      </c>
      <c r="L59" s="99"/>
      <c r="M59" s="99"/>
      <c r="N59" s="99"/>
      <c r="Q59" s="68"/>
      <c r="T59" s="95">
        <f t="shared" si="8"/>
        <v>21</v>
      </c>
      <c r="U59" s="93"/>
    </row>
    <row r="60" spans="1:21" hidden="1" x14ac:dyDescent="0.25">
      <c r="A60" s="96">
        <f t="shared" si="9"/>
        <v>22</v>
      </c>
      <c r="B60" s="97">
        <f t="shared" si="10"/>
        <v>0.48999999999999966</v>
      </c>
      <c r="C60" s="97">
        <f t="shared" si="11"/>
        <v>0.60999999999999976</v>
      </c>
      <c r="H60" s="139">
        <f t="shared" si="12"/>
        <v>0.48999999999999966</v>
      </c>
      <c r="I60" s="139">
        <f t="shared" si="13"/>
        <v>0.60999999999999976</v>
      </c>
      <c r="L60" s="99"/>
      <c r="M60" s="99"/>
      <c r="N60" s="99"/>
      <c r="Q60" s="68"/>
      <c r="T60" s="95">
        <f t="shared" si="8"/>
        <v>22</v>
      </c>
      <c r="U60" s="93"/>
    </row>
    <row r="61" spans="1:21" hidden="1" x14ac:dyDescent="0.25">
      <c r="A61" s="96">
        <f t="shared" si="9"/>
        <v>23</v>
      </c>
      <c r="B61" s="97">
        <f t="shared" si="10"/>
        <v>0.45999999999999963</v>
      </c>
      <c r="C61" s="97">
        <f t="shared" si="11"/>
        <v>0.58999999999999975</v>
      </c>
      <c r="H61" s="139">
        <f t="shared" si="12"/>
        <v>0.45999999999999963</v>
      </c>
      <c r="I61" s="139">
        <f t="shared" si="13"/>
        <v>0.58999999999999975</v>
      </c>
      <c r="L61" s="99"/>
      <c r="M61" s="99"/>
      <c r="N61" s="99"/>
      <c r="Q61" s="68"/>
      <c r="T61" s="95">
        <f t="shared" si="8"/>
        <v>23</v>
      </c>
      <c r="U61" s="93"/>
    </row>
    <row r="62" spans="1:21" hidden="1" x14ac:dyDescent="0.25">
      <c r="A62" s="96">
        <f t="shared" si="9"/>
        <v>24</v>
      </c>
      <c r="B62" s="97">
        <f t="shared" si="10"/>
        <v>0.4299999999999996</v>
      </c>
      <c r="C62" s="97">
        <f t="shared" si="11"/>
        <v>0.56999999999999973</v>
      </c>
      <c r="H62" s="139">
        <f t="shared" si="12"/>
        <v>0.4299999999999996</v>
      </c>
      <c r="I62" s="139">
        <f t="shared" si="13"/>
        <v>0.56999999999999973</v>
      </c>
      <c r="Q62" s="68"/>
      <c r="T62" s="95">
        <f t="shared" si="8"/>
        <v>24</v>
      </c>
      <c r="U62" s="93"/>
    </row>
    <row r="63" spans="1:21" hidden="1" x14ac:dyDescent="0.25">
      <c r="A63" s="96">
        <f t="shared" si="9"/>
        <v>25</v>
      </c>
      <c r="B63" s="97">
        <f t="shared" si="10"/>
        <v>0.39999999999999958</v>
      </c>
      <c r="C63" s="97">
        <f t="shared" si="11"/>
        <v>0.54999999999999971</v>
      </c>
      <c r="H63" s="139">
        <f t="shared" si="12"/>
        <v>0.39999999999999958</v>
      </c>
      <c r="I63" s="139">
        <f t="shared" si="13"/>
        <v>0.54999999999999971</v>
      </c>
      <c r="Q63" s="68"/>
      <c r="T63" s="95">
        <f t="shared" si="8"/>
        <v>25</v>
      </c>
      <c r="U63" s="93"/>
    </row>
    <row r="64" spans="1:21" hidden="1" x14ac:dyDescent="0.25">
      <c r="A64" s="96">
        <f t="shared" si="9"/>
        <v>26</v>
      </c>
      <c r="B64" s="97">
        <f t="shared" si="10"/>
        <v>0.36999999999999955</v>
      </c>
      <c r="C64" s="97">
        <f t="shared" si="11"/>
        <v>0.52999999999999969</v>
      </c>
      <c r="H64" s="139">
        <f t="shared" si="12"/>
        <v>0.36999999999999955</v>
      </c>
      <c r="I64" s="139">
        <f t="shared" si="13"/>
        <v>0.52999999999999969</v>
      </c>
      <c r="Q64" s="68"/>
      <c r="T64" s="95">
        <f t="shared" si="8"/>
        <v>26</v>
      </c>
      <c r="U64" s="93"/>
    </row>
    <row r="65" spans="1:25" hidden="1" x14ac:dyDescent="0.25">
      <c r="A65" s="96">
        <f t="shared" si="9"/>
        <v>27</v>
      </c>
      <c r="B65" s="97">
        <f t="shared" si="10"/>
        <v>0.33999999999999952</v>
      </c>
      <c r="C65" s="97">
        <f t="shared" si="11"/>
        <v>0.50999999999999968</v>
      </c>
      <c r="H65" s="139">
        <f t="shared" si="12"/>
        <v>0.33999999999999952</v>
      </c>
      <c r="I65" s="139">
        <f t="shared" si="13"/>
        <v>0.50999999999999968</v>
      </c>
      <c r="Q65" s="68"/>
      <c r="T65" s="95">
        <f t="shared" si="8"/>
        <v>27</v>
      </c>
      <c r="U65" s="93"/>
    </row>
    <row r="66" spans="1:25" hidden="1" x14ac:dyDescent="0.25">
      <c r="A66" s="96">
        <f t="shared" si="9"/>
        <v>28</v>
      </c>
      <c r="B66" s="97">
        <f t="shared" si="10"/>
        <v>0.3099999999999995</v>
      </c>
      <c r="C66" s="97">
        <f t="shared" si="11"/>
        <v>0.48999999999999966</v>
      </c>
      <c r="H66" s="139">
        <f t="shared" si="12"/>
        <v>0.3099999999999995</v>
      </c>
      <c r="I66" s="139">
        <f t="shared" si="13"/>
        <v>0.48999999999999966</v>
      </c>
      <c r="Q66" s="68"/>
      <c r="T66" s="95">
        <f t="shared" si="8"/>
        <v>28</v>
      </c>
      <c r="U66" s="93"/>
    </row>
    <row r="67" spans="1:25" hidden="1" x14ac:dyDescent="0.25">
      <c r="A67" s="96">
        <f t="shared" si="9"/>
        <v>29</v>
      </c>
      <c r="B67" s="97">
        <f t="shared" si="10"/>
        <v>0.27999999999999947</v>
      </c>
      <c r="C67" s="97">
        <f t="shared" si="11"/>
        <v>0.46999999999999964</v>
      </c>
      <c r="H67" s="139">
        <f t="shared" si="12"/>
        <v>0.27999999999999947</v>
      </c>
      <c r="I67" s="139">
        <f t="shared" si="13"/>
        <v>0.46999999999999964</v>
      </c>
      <c r="Q67" s="68"/>
      <c r="T67" s="95">
        <f t="shared" si="8"/>
        <v>29</v>
      </c>
      <c r="U67" s="93"/>
    </row>
    <row r="68" spans="1:25" hidden="1" x14ac:dyDescent="0.25">
      <c r="A68" s="96" t="str">
        <f>(A67+1)&amp;"+"</f>
        <v>30+</v>
      </c>
      <c r="B68" s="97">
        <f t="shared" si="10"/>
        <v>0.24999999999999947</v>
      </c>
      <c r="C68" s="97">
        <f t="shared" si="11"/>
        <v>0.44999999999999962</v>
      </c>
      <c r="H68" s="139">
        <f t="shared" si="12"/>
        <v>0.24999999999999947</v>
      </c>
      <c r="I68" s="139">
        <f t="shared" si="13"/>
        <v>0.44999999999999962</v>
      </c>
      <c r="Q68" s="68"/>
      <c r="T68" s="95" t="str">
        <f t="shared" si="8"/>
        <v>30+</v>
      </c>
      <c r="U68" s="93"/>
    </row>
    <row r="69" spans="1:25" hidden="1" x14ac:dyDescent="0.25">
      <c r="A69" s="68"/>
      <c r="B69" s="97"/>
      <c r="C69" s="97"/>
      <c r="Q69" s="68"/>
    </row>
    <row r="70" spans="1:25" x14ac:dyDescent="0.25">
      <c r="A70" s="3" t="s">
        <v>71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3" t="s">
        <v>131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Q72" s="2"/>
      <c r="R72" s="2"/>
      <c r="S72" s="2"/>
      <c r="T72" s="2"/>
      <c r="U72" s="2"/>
      <c r="V72" s="2"/>
      <c r="W72" s="2"/>
      <c r="X72" s="2"/>
    </row>
    <row r="73" spans="1:25" x14ac:dyDescent="0.25">
      <c r="A73" s="3" t="s">
        <v>57</v>
      </c>
      <c r="B73" s="162" t="str">
        <f>'Exh-Subsidy MA '!C7</f>
        <v>0-9</v>
      </c>
      <c r="C73" s="97"/>
      <c r="D73" s="57" t="s">
        <v>130</v>
      </c>
      <c r="F73" s="57"/>
      <c r="J73" s="132"/>
      <c r="K73" s="83"/>
      <c r="P73" s="68"/>
    </row>
    <row r="74" spans="1:25" x14ac:dyDescent="0.25">
      <c r="A74" s="70" t="s">
        <v>43</v>
      </c>
      <c r="B74" s="71"/>
      <c r="C74" s="73" t="s">
        <v>25</v>
      </c>
      <c r="D74" s="74"/>
      <c r="E74" s="72" t="s">
        <v>124</v>
      </c>
      <c r="F74" s="72"/>
      <c r="G74" s="73" t="s">
        <v>121</v>
      </c>
      <c r="H74" s="74"/>
      <c r="I74" s="73" t="s">
        <v>125</v>
      </c>
      <c r="J74" s="74"/>
      <c r="K74" s="83"/>
      <c r="L74" s="100"/>
      <c r="M74" s="100"/>
      <c r="N74" s="100"/>
      <c r="O74" s="100"/>
      <c r="P74" s="100"/>
      <c r="Q74" s="100"/>
    </row>
    <row r="75" spans="1:25" x14ac:dyDescent="0.25">
      <c r="A75" s="76"/>
      <c r="B75" s="77" t="s">
        <v>39</v>
      </c>
      <c r="C75" s="78" t="s">
        <v>40</v>
      </c>
      <c r="D75" s="71" t="s">
        <v>129</v>
      </c>
      <c r="E75" s="102" t="s">
        <v>40</v>
      </c>
      <c r="F75" s="102" t="s">
        <v>129</v>
      </c>
      <c r="G75" s="78" t="s">
        <v>40</v>
      </c>
      <c r="H75" s="71" t="s">
        <v>129</v>
      </c>
      <c r="I75" s="101" t="s">
        <v>40</v>
      </c>
      <c r="J75" s="128" t="s">
        <v>129</v>
      </c>
      <c r="K75" s="83"/>
      <c r="L75" s="2"/>
      <c r="M75" s="2"/>
      <c r="N75" s="2"/>
      <c r="O75" s="2"/>
      <c r="P75" s="2"/>
      <c r="Q75" s="2"/>
    </row>
    <row r="76" spans="1:25" x14ac:dyDescent="0.25">
      <c r="A76" s="81" t="s">
        <v>6</v>
      </c>
      <c r="B76" s="2" t="s">
        <v>27</v>
      </c>
      <c r="C76" s="103">
        <f>ROUND(MAX(D76-D78+C78,$C$29),2)</f>
        <v>1058.9100000000001</v>
      </c>
      <c r="D76" s="124">
        <f t="shared" ref="D76:D82" si="14">C6</f>
        <v>1058.9100000000001</v>
      </c>
      <c r="E76" s="104">
        <f>ROUND(MAX(E78+F76-F78,$E$29),2)</f>
        <v>1164.8</v>
      </c>
      <c r="F76" s="104">
        <f t="shared" ref="F76:F81" si="15">E6-C6</f>
        <v>1164.8</v>
      </c>
      <c r="G76" s="103">
        <f>ROUND(MAX(G78+H76-H78,$G$29),2)</f>
        <v>741.24</v>
      </c>
      <c r="H76" s="124">
        <f t="shared" ref="H76:H82" si="16">D6-C6</f>
        <v>741.24</v>
      </c>
      <c r="I76" s="104">
        <f>ROUND(MAX(I78+J76-J78,$E$29),2)</f>
        <v>1164.8</v>
      </c>
      <c r="J76" s="84">
        <f>E6-C6</f>
        <v>1164.8</v>
      </c>
      <c r="K76" s="83"/>
      <c r="L76" s="83"/>
      <c r="M76" s="83"/>
      <c r="N76" s="83"/>
      <c r="O76" s="83"/>
      <c r="P76" s="83"/>
      <c r="Q76" s="83"/>
    </row>
    <row r="77" spans="1:25" x14ac:dyDescent="0.25">
      <c r="A77" s="81" t="s">
        <v>7</v>
      </c>
      <c r="B77" s="2" t="s">
        <v>28</v>
      </c>
      <c r="C77" s="82">
        <f>ROUND(MAX(D77-D78+C78,$C$30),2)</f>
        <v>995.41</v>
      </c>
      <c r="D77" s="84">
        <f t="shared" si="14"/>
        <v>995.41</v>
      </c>
      <c r="E77" s="83">
        <f>ROUND(MAX(E78+F77-F78,$E$30),2)</f>
        <v>1094.95</v>
      </c>
      <c r="F77" s="83">
        <f t="shared" si="15"/>
        <v>1094.9500000000003</v>
      </c>
      <c r="G77" s="82">
        <f>ROUND(MAX(G78+H77-H78,$G$30),2)</f>
        <v>696.79</v>
      </c>
      <c r="H77" s="84">
        <f t="shared" si="16"/>
        <v>696.79000000000008</v>
      </c>
      <c r="I77" s="83">
        <f>ROUND(MAX(I78+J77-J78,$E$30),2)</f>
        <v>1094.95</v>
      </c>
      <c r="J77" s="84">
        <f t="shared" ref="J77:J81" si="17">E7-C7</f>
        <v>1094.9500000000003</v>
      </c>
      <c r="K77" s="83"/>
      <c r="L77" s="83"/>
      <c r="M77" s="83"/>
      <c r="N77" s="83"/>
      <c r="O77" s="83"/>
      <c r="P77" s="83"/>
      <c r="Q77" s="83"/>
    </row>
    <row r="78" spans="1:25" x14ac:dyDescent="0.25">
      <c r="A78" s="107" t="s">
        <v>8</v>
      </c>
      <c r="B78" s="94" t="s">
        <v>29</v>
      </c>
      <c r="C78" s="108">
        <f>ROUND(MAX(VLOOKUP($B$73,$A$47:$C$68,2)*D78,$C$31),2)</f>
        <v>946.91</v>
      </c>
      <c r="D78" s="84">
        <f t="shared" si="14"/>
        <v>946.91</v>
      </c>
      <c r="E78" s="109">
        <f>ROUND(MAX(VLOOKUP($B$73,$A$47:$C$68,3),$M$55)*F78,2)</f>
        <v>1041.5999999999999</v>
      </c>
      <c r="F78" s="83">
        <f t="shared" si="15"/>
        <v>1041.5999999999999</v>
      </c>
      <c r="G78" s="110">
        <f>ROUND(MAX(VLOOKUP($B$73,$A$47:$C$68,3),$N$55)*H78,2)</f>
        <v>662.84</v>
      </c>
      <c r="H78" s="84">
        <f t="shared" si="16"/>
        <v>662.84</v>
      </c>
      <c r="I78" s="109">
        <f>ROUND(MAX(VLOOKUP($B73,$A$47:$C$68,3),$M$55)*J78,2)</f>
        <v>1041.5999999999999</v>
      </c>
      <c r="J78" s="84">
        <f t="shared" si="17"/>
        <v>1041.5999999999999</v>
      </c>
      <c r="K78" s="83"/>
      <c r="L78" s="111"/>
      <c r="M78" s="111"/>
      <c r="N78" s="111"/>
      <c r="O78" s="111"/>
      <c r="P78" s="111"/>
      <c r="Q78" s="111"/>
    </row>
    <row r="79" spans="1:25" x14ac:dyDescent="0.25">
      <c r="A79" s="81" t="s">
        <v>17</v>
      </c>
      <c r="B79" s="2" t="s">
        <v>30</v>
      </c>
      <c r="C79" s="82">
        <f>ROUND(MAX(D79-D78+C78,$C$32),2)</f>
        <v>1021.77</v>
      </c>
      <c r="D79" s="84">
        <f t="shared" si="14"/>
        <v>1021.77</v>
      </c>
      <c r="E79" s="83">
        <f>ROUND(MAX(E78+F79-F78,$E$32),2)</f>
        <v>1123.95</v>
      </c>
      <c r="F79" s="83">
        <f t="shared" si="15"/>
        <v>1123.9499999999998</v>
      </c>
      <c r="G79" s="82">
        <f>ROUND(MAX(G78+H79-H78,$G$32),2)</f>
        <v>715.24</v>
      </c>
      <c r="H79" s="84">
        <f t="shared" si="16"/>
        <v>715.24</v>
      </c>
      <c r="I79" s="83">
        <f>ROUND(MAX(I78+J79-J78,$E$32),2)</f>
        <v>1123.95</v>
      </c>
      <c r="J79" s="84">
        <f t="shared" si="17"/>
        <v>1123.9499999999998</v>
      </c>
      <c r="K79" s="83"/>
      <c r="L79" s="83"/>
      <c r="M79" s="83"/>
      <c r="N79" s="83"/>
      <c r="O79" s="83"/>
      <c r="P79" s="83"/>
      <c r="Q79" s="83"/>
    </row>
    <row r="80" spans="1:25" x14ac:dyDescent="0.25">
      <c r="A80" s="81" t="s">
        <v>18</v>
      </c>
      <c r="B80" s="2" t="s">
        <v>32</v>
      </c>
      <c r="C80" s="82">
        <f>ROUND(MAX(D80-D78+C78,$C$33),2)</f>
        <v>1060.82</v>
      </c>
      <c r="D80" s="84">
        <f t="shared" si="14"/>
        <v>1060.82</v>
      </c>
      <c r="E80" s="83">
        <f>ROUND(MAX(E78+F80-F78,$E$33),2)</f>
        <v>1166.9000000000001</v>
      </c>
      <c r="F80" s="83">
        <f t="shared" si="15"/>
        <v>1166.8999999999999</v>
      </c>
      <c r="G80" s="82">
        <f>ROUND(MAX(G78+H80-H78,$G$33),2)</f>
        <v>742.57</v>
      </c>
      <c r="H80" s="84">
        <f t="shared" si="16"/>
        <v>742.57000000000016</v>
      </c>
      <c r="I80" s="83">
        <f>ROUND(MAX(I78+J80-J78,$E$33),2)</f>
        <v>1166.9000000000001</v>
      </c>
      <c r="J80" s="84">
        <f t="shared" si="17"/>
        <v>1166.8999999999999</v>
      </c>
      <c r="K80" s="83"/>
      <c r="L80" s="83"/>
      <c r="M80" s="83"/>
      <c r="N80" s="83"/>
      <c r="O80" s="83"/>
      <c r="P80" s="83"/>
      <c r="Q80" s="83"/>
    </row>
    <row r="81" spans="1:35" x14ac:dyDescent="0.25">
      <c r="A81" s="81" t="s">
        <v>19</v>
      </c>
      <c r="B81" s="2" t="s">
        <v>33</v>
      </c>
      <c r="C81" s="82">
        <f>ROUND(MAX(D81-D78+C78,$C$34),2)</f>
        <v>936.93</v>
      </c>
      <c r="D81" s="84">
        <f t="shared" si="14"/>
        <v>936.93</v>
      </c>
      <c r="E81" s="83">
        <f>ROUND(MAX(E78+F81-F78,$E$34),2)</f>
        <v>1030.6199999999999</v>
      </c>
      <c r="F81" s="83">
        <f t="shared" si="15"/>
        <v>1030.6199999999999</v>
      </c>
      <c r="G81" s="82">
        <f>ROUND(MAX(G78+H81-H78,$G$34),2)</f>
        <v>655.85</v>
      </c>
      <c r="H81" s="84">
        <f t="shared" si="16"/>
        <v>655.85</v>
      </c>
      <c r="I81" s="83">
        <f>ROUND(MAX(I78+J81-J78,$E$34),2)</f>
        <v>1030.6199999999999</v>
      </c>
      <c r="J81" s="84">
        <f t="shared" si="17"/>
        <v>1030.6199999999999</v>
      </c>
      <c r="K81" s="83"/>
      <c r="L81" s="83"/>
      <c r="M81" s="83"/>
      <c r="N81" s="83"/>
      <c r="O81" s="83"/>
      <c r="P81" s="83"/>
      <c r="Q81" s="83"/>
    </row>
    <row r="82" spans="1:35" x14ac:dyDescent="0.25">
      <c r="A82" s="107" t="s">
        <v>20</v>
      </c>
      <c r="B82" s="94" t="s">
        <v>31</v>
      </c>
      <c r="C82" s="123">
        <f>ROUND(MAX(VLOOKUP($B$73,$A$47:$C$68,2)*D82,$C$35),2)</f>
        <v>844.12</v>
      </c>
      <c r="D82" s="88">
        <f t="shared" si="14"/>
        <v>844.12</v>
      </c>
      <c r="E82" s="115">
        <f>ROUND(MAX(VLOOKUP($B$73,$A$47:$C$68,3),$M$56)*F82,2)</f>
        <v>844.12</v>
      </c>
      <c r="F82" s="131">
        <f>C12</f>
        <v>844.12</v>
      </c>
      <c r="G82" s="110">
        <f>ROUND(MAX(VLOOKUP($B$73,$A$47:$C$68,3),$N$56)*H82,2)</f>
        <v>590.88</v>
      </c>
      <c r="H82" s="88">
        <f t="shared" si="16"/>
        <v>590.88</v>
      </c>
      <c r="I82" s="109">
        <f>ROUND(MAX(VLOOKUP($B73,$A$47:$C$68,3),$M$56)*J82,2)</f>
        <v>928.53</v>
      </c>
      <c r="J82" s="141">
        <f>E12-C12</f>
        <v>928.53000000000009</v>
      </c>
      <c r="K82" s="127" t="s">
        <v>128</v>
      </c>
      <c r="L82" s="111"/>
      <c r="M82" s="111"/>
      <c r="N82" s="111"/>
      <c r="O82" s="111"/>
      <c r="P82" s="111"/>
      <c r="Q82" s="112"/>
    </row>
    <row r="83" spans="1:35" ht="14.4" x14ac:dyDescent="0.3">
      <c r="A83" s="85" t="str">
        <f>$E$20&amp;" MA Standard"</f>
        <v>Anthem MA Standard</v>
      </c>
      <c r="B83" s="4" t="s">
        <v>72</v>
      </c>
      <c r="C83" s="134">
        <f>ROUND(MAX(VLOOKUP($B73,$A$47:$C$68,2)*$C$20,$C$36),2)</f>
        <v>32.409999999999997</v>
      </c>
      <c r="D83" s="83">
        <f>C83</f>
        <v>32.409999999999997</v>
      </c>
      <c r="E83" s="134">
        <f>ROUND(MAX(VLOOKUP($B$73,$A$47:$C$68,3),$M$57)*$C$20,2)</f>
        <v>32.409999999999997</v>
      </c>
      <c r="F83" s="83">
        <f>E83</f>
        <v>32.409999999999997</v>
      </c>
      <c r="G83" s="103">
        <f>E83</f>
        <v>32.409999999999997</v>
      </c>
      <c r="H83" s="124">
        <f>F83</f>
        <v>32.409999999999997</v>
      </c>
      <c r="I83" s="103">
        <f>G83</f>
        <v>32.409999999999997</v>
      </c>
      <c r="J83" s="124">
        <f>H83</f>
        <v>32.409999999999997</v>
      </c>
      <c r="K83" s="83"/>
      <c r="L83" s="83"/>
      <c r="M83" s="83"/>
      <c r="N83" s="83"/>
      <c r="O83" s="83"/>
      <c r="P83" s="83"/>
      <c r="Q83" s="83"/>
    </row>
    <row r="84" spans="1:35" ht="14.4" x14ac:dyDescent="0.3">
      <c r="A84" s="106" t="str">
        <f>$E$20&amp;" MA Premium"</f>
        <v>Anthem MA Premium</v>
      </c>
      <c r="B84" s="5" t="s">
        <v>73</v>
      </c>
      <c r="C84" s="135">
        <f>ROUND(C$83+$C21-$C$20,2)</f>
        <v>199.41</v>
      </c>
      <c r="D84" s="83">
        <f>C84</f>
        <v>199.41</v>
      </c>
      <c r="E84" s="135">
        <f>ROUND(E$83+$C21-$C$20,2)</f>
        <v>199.41</v>
      </c>
      <c r="F84" s="83">
        <f>E84</f>
        <v>199.41</v>
      </c>
      <c r="G84" s="82">
        <f>E84</f>
        <v>199.41</v>
      </c>
      <c r="H84" s="84">
        <f t="shared" ref="H84:H86" si="18">F84</f>
        <v>199.41</v>
      </c>
      <c r="I84" s="82">
        <f>G84</f>
        <v>199.41</v>
      </c>
      <c r="J84" s="84">
        <f t="shared" ref="J84:J86" si="19">H84</f>
        <v>199.41</v>
      </c>
      <c r="K84" s="83"/>
      <c r="L84" s="83"/>
      <c r="M84" s="83"/>
      <c r="N84" s="83"/>
      <c r="O84" s="83"/>
      <c r="P84" s="83"/>
      <c r="Q84" s="105"/>
    </row>
    <row r="85" spans="1:35" ht="14.4" x14ac:dyDescent="0.3">
      <c r="A85" s="107" t="s">
        <v>48</v>
      </c>
      <c r="B85" s="94" t="s">
        <v>35</v>
      </c>
      <c r="C85" s="135">
        <f>ROUND(C$83+$C16-$C$20,2)</f>
        <v>95</v>
      </c>
      <c r="D85" s="83">
        <f>C85</f>
        <v>95</v>
      </c>
      <c r="E85" s="135">
        <f>ROUND(E$83+$C16-$C$20,2)</f>
        <v>95</v>
      </c>
      <c r="F85" s="83">
        <f>E85</f>
        <v>95</v>
      </c>
      <c r="G85" s="82">
        <f>E85</f>
        <v>95</v>
      </c>
      <c r="H85" s="84">
        <f t="shared" si="18"/>
        <v>95</v>
      </c>
      <c r="I85" s="82">
        <f>G85</f>
        <v>95</v>
      </c>
      <c r="J85" s="84">
        <f t="shared" si="19"/>
        <v>95</v>
      </c>
      <c r="K85" s="83"/>
      <c r="L85" s="111"/>
      <c r="M85" s="111"/>
      <c r="N85" s="111"/>
      <c r="O85" s="111"/>
      <c r="P85" s="111"/>
      <c r="Q85" s="112"/>
    </row>
    <row r="86" spans="1:35" ht="14.4" x14ac:dyDescent="0.3">
      <c r="A86" s="113" t="s">
        <v>49</v>
      </c>
      <c r="B86" s="114" t="s">
        <v>34</v>
      </c>
      <c r="C86" s="136">
        <f t="shared" ref="C86:E86" si="20">ROUND(C$83+$C17-$C$20,2)</f>
        <v>230.8</v>
      </c>
      <c r="D86" s="87">
        <f>C86</f>
        <v>230.8</v>
      </c>
      <c r="E86" s="136">
        <f t="shared" si="20"/>
        <v>230.8</v>
      </c>
      <c r="F86" s="87">
        <f>E86</f>
        <v>230.8</v>
      </c>
      <c r="G86" s="86">
        <f>E86</f>
        <v>230.8</v>
      </c>
      <c r="H86" s="88">
        <f t="shared" si="18"/>
        <v>230.8</v>
      </c>
      <c r="I86" s="86">
        <f>G86</f>
        <v>230.8</v>
      </c>
      <c r="J86" s="88">
        <f t="shared" si="19"/>
        <v>230.8</v>
      </c>
      <c r="K86" s="83"/>
      <c r="L86" s="111"/>
      <c r="M86" s="111"/>
      <c r="N86" s="111"/>
      <c r="O86" s="111"/>
      <c r="P86" s="111"/>
      <c r="Q86" s="111"/>
    </row>
    <row r="87" spans="1:35" x14ac:dyDescent="0.25">
      <c r="B87" s="75" t="s">
        <v>37</v>
      </c>
      <c r="C87" s="2">
        <v>2</v>
      </c>
      <c r="D87" s="2">
        <f t="shared" ref="D87" si="21">C87+1</f>
        <v>3</v>
      </c>
      <c r="E87" s="2">
        <f t="shared" ref="E87" si="22">D87+1</f>
        <v>4</v>
      </c>
      <c r="F87" s="2">
        <f t="shared" ref="F87" si="23">E87+1</f>
        <v>5</v>
      </c>
      <c r="G87" s="2">
        <f t="shared" ref="G87" si="24">F87+1</f>
        <v>6</v>
      </c>
      <c r="H87" s="2">
        <f t="shared" ref="H87:I87" si="25">G87+1</f>
        <v>7</v>
      </c>
      <c r="I87" s="2">
        <f t="shared" si="25"/>
        <v>8</v>
      </c>
      <c r="J87" s="83"/>
      <c r="K87" s="83"/>
      <c r="L87" s="2"/>
      <c r="M87" s="2"/>
      <c r="N87" s="2"/>
      <c r="O87" s="2"/>
      <c r="P87" s="2"/>
      <c r="Q87" s="2"/>
    </row>
    <row r="88" spans="1:35" x14ac:dyDescent="0.25">
      <c r="B88" s="2"/>
      <c r="C88" s="2"/>
      <c r="D88" s="2"/>
      <c r="E88" s="2"/>
      <c r="F88" s="2"/>
      <c r="G88" s="2"/>
      <c r="H88" s="2"/>
      <c r="I88" s="2"/>
      <c r="J88" s="83"/>
      <c r="K88" s="83"/>
      <c r="L88" s="2"/>
      <c r="M88" s="2"/>
      <c r="N88" s="2"/>
      <c r="O88" s="2"/>
      <c r="P88" s="2"/>
      <c r="Q88" s="2"/>
    </row>
    <row r="89" spans="1:35" x14ac:dyDescent="0.25">
      <c r="B89" s="2"/>
      <c r="C89" s="2"/>
      <c r="D89" s="2"/>
      <c r="E89" s="2"/>
      <c r="F89" s="2"/>
      <c r="G89" s="2"/>
      <c r="H89" s="2"/>
      <c r="I89" s="2"/>
      <c r="J89" s="83"/>
      <c r="K89" s="83"/>
      <c r="L89" s="2"/>
      <c r="M89" s="2"/>
      <c r="N89" s="2"/>
      <c r="O89" s="2"/>
      <c r="P89" s="2"/>
      <c r="Q89" s="2"/>
    </row>
    <row r="90" spans="1:35" x14ac:dyDescent="0.25">
      <c r="D90" s="51"/>
      <c r="E90" s="51"/>
      <c r="F90" s="51"/>
      <c r="G90" s="51"/>
      <c r="H90" s="51" t="str">
        <f>V90</f>
        <v>B1</v>
      </c>
      <c r="I90" s="51" t="str">
        <f>H90</f>
        <v>B1</v>
      </c>
      <c r="J90" s="51" t="str">
        <f>X90</f>
        <v>B2</v>
      </c>
      <c r="K90" s="51" t="str">
        <f>J90</f>
        <v>B2</v>
      </c>
      <c r="L90" s="51" t="str">
        <f>Z90</f>
        <v>B3</v>
      </c>
      <c r="M90" s="51" t="str">
        <f>L90</f>
        <v>B3</v>
      </c>
      <c r="N90" s="51" t="str">
        <f>AB90</f>
        <v>B6</v>
      </c>
      <c r="O90" s="51" t="str">
        <f>N90</f>
        <v>B6</v>
      </c>
      <c r="P90" s="51" t="str">
        <f>AD90</f>
        <v>H1</v>
      </c>
      <c r="Q90" s="51" t="str">
        <f>P90</f>
        <v>H1</v>
      </c>
      <c r="R90" s="51" t="str">
        <f>AF90</f>
        <v>H2</v>
      </c>
      <c r="S90" s="51" t="str">
        <f>R90</f>
        <v>H2</v>
      </c>
      <c r="T90" s="51" t="str">
        <f>AH90</f>
        <v>K1</v>
      </c>
      <c r="U90" s="51" t="str">
        <f>T90</f>
        <v>K1</v>
      </c>
      <c r="V90" s="51" t="s">
        <v>27</v>
      </c>
      <c r="W90" s="51" t="str">
        <f>V90</f>
        <v>B1</v>
      </c>
      <c r="X90" s="51" t="s">
        <v>28</v>
      </c>
      <c r="Y90" s="51" t="str">
        <f>X90</f>
        <v>B2</v>
      </c>
      <c r="Z90" s="51" t="s">
        <v>29</v>
      </c>
      <c r="AA90" s="51" t="str">
        <f>Z90</f>
        <v>B3</v>
      </c>
      <c r="AB90" s="51" t="s">
        <v>30</v>
      </c>
      <c r="AC90" s="51" t="str">
        <f>AB90</f>
        <v>B6</v>
      </c>
      <c r="AD90" s="51" t="s">
        <v>32</v>
      </c>
      <c r="AE90" s="51" t="str">
        <f>AD90</f>
        <v>H1</v>
      </c>
      <c r="AF90" s="51" t="s">
        <v>33</v>
      </c>
      <c r="AG90" s="51" t="str">
        <f>AF90</f>
        <v>H2</v>
      </c>
      <c r="AH90" s="51" t="s">
        <v>31</v>
      </c>
      <c r="AI90" s="51" t="str">
        <f>AH90</f>
        <v>K1</v>
      </c>
    </row>
    <row r="91" spans="1:35" x14ac:dyDescent="0.25">
      <c r="C91" s="126" t="s">
        <v>118</v>
      </c>
      <c r="D91" s="51"/>
      <c r="E91" s="51"/>
      <c r="F91" s="51"/>
      <c r="G91" s="2"/>
      <c r="H91" s="151">
        <f>VLOOKUP(H$90,$B$76:$J$86,2,0)</f>
        <v>1058.9100000000001</v>
      </c>
      <c r="I91" s="151">
        <f t="shared" ref="I91:AI91" si="26">VLOOKUP(I$90,$B$76:$J$86,2,0)</f>
        <v>1058.9100000000001</v>
      </c>
      <c r="J91" s="151">
        <f t="shared" si="26"/>
        <v>995.41</v>
      </c>
      <c r="K91" s="151">
        <f t="shared" si="26"/>
        <v>995.41</v>
      </c>
      <c r="L91" s="151">
        <f t="shared" si="26"/>
        <v>946.91</v>
      </c>
      <c r="M91" s="151">
        <f t="shared" si="26"/>
        <v>946.91</v>
      </c>
      <c r="N91" s="151">
        <f t="shared" si="26"/>
        <v>1021.77</v>
      </c>
      <c r="O91" s="151">
        <f t="shared" si="26"/>
        <v>1021.77</v>
      </c>
      <c r="P91" s="151">
        <f t="shared" si="26"/>
        <v>1060.82</v>
      </c>
      <c r="Q91" s="151">
        <f t="shared" si="26"/>
        <v>1060.82</v>
      </c>
      <c r="R91" s="151">
        <f t="shared" si="26"/>
        <v>936.93</v>
      </c>
      <c r="S91" s="151">
        <f t="shared" si="26"/>
        <v>936.93</v>
      </c>
      <c r="T91" s="151">
        <f t="shared" si="26"/>
        <v>844.12</v>
      </c>
      <c r="U91" s="151">
        <f t="shared" si="26"/>
        <v>844.12</v>
      </c>
      <c r="V91" s="151">
        <f t="shared" si="26"/>
        <v>1058.9100000000001</v>
      </c>
      <c r="W91" s="151">
        <f t="shared" si="26"/>
        <v>1058.9100000000001</v>
      </c>
      <c r="X91" s="151">
        <f t="shared" si="26"/>
        <v>995.41</v>
      </c>
      <c r="Y91" s="151">
        <f t="shared" si="26"/>
        <v>995.41</v>
      </c>
      <c r="Z91" s="151">
        <f t="shared" si="26"/>
        <v>946.91</v>
      </c>
      <c r="AA91" s="151">
        <f t="shared" si="26"/>
        <v>946.91</v>
      </c>
      <c r="AB91" s="151">
        <f t="shared" si="26"/>
        <v>1021.77</v>
      </c>
      <c r="AC91" s="151">
        <f t="shared" si="26"/>
        <v>1021.77</v>
      </c>
      <c r="AD91" s="151">
        <f t="shared" si="26"/>
        <v>1060.82</v>
      </c>
      <c r="AE91" s="151">
        <f t="shared" si="26"/>
        <v>1060.82</v>
      </c>
      <c r="AF91" s="151">
        <f t="shared" si="26"/>
        <v>936.93</v>
      </c>
      <c r="AG91" s="151">
        <f t="shared" si="26"/>
        <v>936.93</v>
      </c>
      <c r="AH91" s="151">
        <f t="shared" si="26"/>
        <v>844.12</v>
      </c>
      <c r="AI91" s="151">
        <f t="shared" si="26"/>
        <v>844.12</v>
      </c>
    </row>
    <row r="92" spans="1:35" x14ac:dyDescent="0.25">
      <c r="C92" s="126" t="s">
        <v>127</v>
      </c>
      <c r="D92" s="51"/>
      <c r="E92" s="51"/>
      <c r="F92" s="51"/>
      <c r="G92" s="2"/>
      <c r="H92" s="151">
        <f>VLOOKUP(H$90,$B$76:$J$86,4,0)</f>
        <v>1164.8</v>
      </c>
      <c r="I92" s="151">
        <f t="shared" ref="I92:AI92" si="27">VLOOKUP(I$90,$B$76:$J$86,4,0)</f>
        <v>1164.8</v>
      </c>
      <c r="J92" s="151">
        <f t="shared" si="27"/>
        <v>1094.95</v>
      </c>
      <c r="K92" s="151">
        <f t="shared" si="27"/>
        <v>1094.95</v>
      </c>
      <c r="L92" s="151">
        <f t="shared" si="27"/>
        <v>1041.5999999999999</v>
      </c>
      <c r="M92" s="151">
        <f t="shared" si="27"/>
        <v>1041.5999999999999</v>
      </c>
      <c r="N92" s="151">
        <f t="shared" si="27"/>
        <v>1123.95</v>
      </c>
      <c r="O92" s="151">
        <f t="shared" si="27"/>
        <v>1123.95</v>
      </c>
      <c r="P92" s="151">
        <f t="shared" si="27"/>
        <v>1166.9000000000001</v>
      </c>
      <c r="Q92" s="151">
        <f t="shared" si="27"/>
        <v>1166.9000000000001</v>
      </c>
      <c r="R92" s="151">
        <f t="shared" si="27"/>
        <v>1030.6199999999999</v>
      </c>
      <c r="S92" s="151">
        <f t="shared" si="27"/>
        <v>1030.6199999999999</v>
      </c>
      <c r="T92" s="151">
        <f t="shared" si="27"/>
        <v>844.12</v>
      </c>
      <c r="U92" s="151">
        <f t="shared" si="27"/>
        <v>844.12</v>
      </c>
      <c r="V92" s="151">
        <f t="shared" si="27"/>
        <v>1164.8</v>
      </c>
      <c r="W92" s="151">
        <f t="shared" si="27"/>
        <v>1164.8</v>
      </c>
      <c r="X92" s="151">
        <f t="shared" si="27"/>
        <v>1094.95</v>
      </c>
      <c r="Y92" s="151">
        <f t="shared" si="27"/>
        <v>1094.95</v>
      </c>
      <c r="Z92" s="151">
        <f t="shared" si="27"/>
        <v>1041.5999999999999</v>
      </c>
      <c r="AA92" s="151">
        <f t="shared" si="27"/>
        <v>1041.5999999999999</v>
      </c>
      <c r="AB92" s="151">
        <f t="shared" si="27"/>
        <v>1123.95</v>
      </c>
      <c r="AC92" s="151">
        <f t="shared" si="27"/>
        <v>1123.95</v>
      </c>
      <c r="AD92" s="151">
        <f t="shared" si="27"/>
        <v>1166.9000000000001</v>
      </c>
      <c r="AE92" s="151">
        <f t="shared" si="27"/>
        <v>1166.9000000000001</v>
      </c>
      <c r="AF92" s="151">
        <f t="shared" si="27"/>
        <v>1030.6199999999999</v>
      </c>
      <c r="AG92" s="151">
        <f t="shared" si="27"/>
        <v>1030.6199999999999</v>
      </c>
      <c r="AH92" s="151">
        <f t="shared" si="27"/>
        <v>844.12</v>
      </c>
      <c r="AI92" s="151">
        <f t="shared" si="27"/>
        <v>844.12</v>
      </c>
    </row>
    <row r="93" spans="1:35" x14ac:dyDescent="0.25">
      <c r="C93" s="126" t="s">
        <v>126</v>
      </c>
      <c r="D93" s="51"/>
      <c r="E93" s="51"/>
      <c r="F93" s="51"/>
      <c r="G93" s="2"/>
      <c r="H93" s="151">
        <f>VLOOKUP(H$90,$B$76:$J$86,8,0)</f>
        <v>1164.8</v>
      </c>
      <c r="I93" s="151">
        <f t="shared" ref="I93:AI93" si="28">VLOOKUP(I$90,$B$76:$J$86,8,0)</f>
        <v>1164.8</v>
      </c>
      <c r="J93" s="151">
        <f t="shared" si="28"/>
        <v>1094.95</v>
      </c>
      <c r="K93" s="151">
        <f t="shared" si="28"/>
        <v>1094.95</v>
      </c>
      <c r="L93" s="151">
        <f t="shared" si="28"/>
        <v>1041.5999999999999</v>
      </c>
      <c r="M93" s="151">
        <f t="shared" si="28"/>
        <v>1041.5999999999999</v>
      </c>
      <c r="N93" s="151">
        <f t="shared" si="28"/>
        <v>1123.95</v>
      </c>
      <c r="O93" s="151">
        <f t="shared" si="28"/>
        <v>1123.95</v>
      </c>
      <c r="P93" s="151">
        <f t="shared" si="28"/>
        <v>1166.9000000000001</v>
      </c>
      <c r="Q93" s="151">
        <f t="shared" si="28"/>
        <v>1166.9000000000001</v>
      </c>
      <c r="R93" s="151">
        <f t="shared" si="28"/>
        <v>1030.6199999999999</v>
      </c>
      <c r="S93" s="151">
        <f t="shared" si="28"/>
        <v>1030.6199999999999</v>
      </c>
      <c r="T93" s="151">
        <f t="shared" si="28"/>
        <v>928.53</v>
      </c>
      <c r="U93" s="151">
        <f t="shared" si="28"/>
        <v>928.53</v>
      </c>
      <c r="V93" s="151">
        <f t="shared" si="28"/>
        <v>1164.8</v>
      </c>
      <c r="W93" s="151">
        <f t="shared" si="28"/>
        <v>1164.8</v>
      </c>
      <c r="X93" s="151">
        <f t="shared" si="28"/>
        <v>1094.95</v>
      </c>
      <c r="Y93" s="151">
        <f t="shared" si="28"/>
        <v>1094.95</v>
      </c>
      <c r="Z93" s="151">
        <f t="shared" si="28"/>
        <v>1041.5999999999999</v>
      </c>
      <c r="AA93" s="151">
        <f t="shared" si="28"/>
        <v>1041.5999999999999</v>
      </c>
      <c r="AB93" s="151">
        <f t="shared" si="28"/>
        <v>1123.95</v>
      </c>
      <c r="AC93" s="151">
        <f t="shared" si="28"/>
        <v>1123.95</v>
      </c>
      <c r="AD93" s="151">
        <f t="shared" si="28"/>
        <v>1166.9000000000001</v>
      </c>
      <c r="AE93" s="151">
        <f t="shared" si="28"/>
        <v>1166.9000000000001</v>
      </c>
      <c r="AF93" s="151">
        <f t="shared" si="28"/>
        <v>1030.6199999999999</v>
      </c>
      <c r="AG93" s="151">
        <f t="shared" si="28"/>
        <v>1030.6199999999999</v>
      </c>
      <c r="AH93" s="151">
        <f t="shared" si="28"/>
        <v>928.53</v>
      </c>
      <c r="AI93" s="151">
        <f t="shared" si="28"/>
        <v>928.53</v>
      </c>
    </row>
    <row r="94" spans="1:35" x14ac:dyDescent="0.25">
      <c r="C94" s="126" t="s">
        <v>119</v>
      </c>
      <c r="D94" s="51"/>
      <c r="E94" s="51"/>
      <c r="F94" s="51"/>
      <c r="G94" s="2"/>
      <c r="H94" s="151">
        <f>VLOOKUP(H$90,$B$76:$J$86,6,0)</f>
        <v>741.24</v>
      </c>
      <c r="I94" s="151">
        <f t="shared" ref="I94:AI94" si="29">VLOOKUP(I$90,$B$76:$J$86,6,0)</f>
        <v>741.24</v>
      </c>
      <c r="J94" s="151">
        <f t="shared" si="29"/>
        <v>696.79</v>
      </c>
      <c r="K94" s="151">
        <f t="shared" si="29"/>
        <v>696.79</v>
      </c>
      <c r="L94" s="151">
        <f t="shared" si="29"/>
        <v>662.84</v>
      </c>
      <c r="M94" s="151">
        <f t="shared" si="29"/>
        <v>662.84</v>
      </c>
      <c r="N94" s="151">
        <f t="shared" si="29"/>
        <v>715.24</v>
      </c>
      <c r="O94" s="151">
        <f t="shared" si="29"/>
        <v>715.24</v>
      </c>
      <c r="P94" s="151">
        <f t="shared" si="29"/>
        <v>742.57</v>
      </c>
      <c r="Q94" s="151">
        <f t="shared" si="29"/>
        <v>742.57</v>
      </c>
      <c r="R94" s="151">
        <f t="shared" si="29"/>
        <v>655.85</v>
      </c>
      <c r="S94" s="151">
        <f t="shared" si="29"/>
        <v>655.85</v>
      </c>
      <c r="T94" s="151">
        <f t="shared" si="29"/>
        <v>590.88</v>
      </c>
      <c r="U94" s="151">
        <f t="shared" si="29"/>
        <v>590.88</v>
      </c>
      <c r="V94" s="151">
        <f t="shared" si="29"/>
        <v>741.24</v>
      </c>
      <c r="W94" s="151">
        <f t="shared" si="29"/>
        <v>741.24</v>
      </c>
      <c r="X94" s="151">
        <f t="shared" si="29"/>
        <v>696.79</v>
      </c>
      <c r="Y94" s="151">
        <f t="shared" si="29"/>
        <v>696.79</v>
      </c>
      <c r="Z94" s="151">
        <f t="shared" si="29"/>
        <v>662.84</v>
      </c>
      <c r="AA94" s="151">
        <f t="shared" si="29"/>
        <v>662.84</v>
      </c>
      <c r="AB94" s="151">
        <f t="shared" si="29"/>
        <v>715.24</v>
      </c>
      <c r="AC94" s="151">
        <f t="shared" si="29"/>
        <v>715.24</v>
      </c>
      <c r="AD94" s="151">
        <f t="shared" si="29"/>
        <v>742.57</v>
      </c>
      <c r="AE94" s="151">
        <f t="shared" si="29"/>
        <v>742.57</v>
      </c>
      <c r="AF94" s="151">
        <f t="shared" si="29"/>
        <v>655.85</v>
      </c>
      <c r="AG94" s="151">
        <f t="shared" si="29"/>
        <v>655.85</v>
      </c>
      <c r="AH94" s="151">
        <f t="shared" si="29"/>
        <v>590.88</v>
      </c>
      <c r="AI94" s="151">
        <f t="shared" si="29"/>
        <v>590.88</v>
      </c>
    </row>
    <row r="95" spans="1:35" x14ac:dyDescent="0.25">
      <c r="C95" s="126" t="s">
        <v>122</v>
      </c>
      <c r="D95" s="151">
        <f>C$84</f>
        <v>199.41</v>
      </c>
      <c r="E95" s="151">
        <f>C$83</f>
        <v>32.409999999999997</v>
      </c>
      <c r="F95" s="151">
        <f>C$86</f>
        <v>230.8</v>
      </c>
      <c r="G95" s="83">
        <f>C$85</f>
        <v>95</v>
      </c>
      <c r="H95" s="152">
        <f>$D95</f>
        <v>199.41</v>
      </c>
      <c r="I95" s="152">
        <f>$E95</f>
        <v>32.409999999999997</v>
      </c>
      <c r="J95" s="151">
        <f t="shared" ref="J95:U96" si="30">H95</f>
        <v>199.41</v>
      </c>
      <c r="K95" s="151">
        <f t="shared" si="30"/>
        <v>32.409999999999997</v>
      </c>
      <c r="L95" s="151">
        <f t="shared" si="30"/>
        <v>199.41</v>
      </c>
      <c r="M95" s="151">
        <f t="shared" si="30"/>
        <v>32.409999999999997</v>
      </c>
      <c r="N95" s="151">
        <f t="shared" si="30"/>
        <v>199.41</v>
      </c>
      <c r="O95" s="151">
        <f t="shared" si="30"/>
        <v>32.409999999999997</v>
      </c>
      <c r="P95" s="151">
        <f t="shared" si="30"/>
        <v>199.41</v>
      </c>
      <c r="Q95" s="151">
        <f t="shared" si="30"/>
        <v>32.409999999999997</v>
      </c>
      <c r="R95" s="151">
        <f t="shared" si="30"/>
        <v>199.41</v>
      </c>
      <c r="S95" s="151">
        <f t="shared" si="30"/>
        <v>32.409999999999997</v>
      </c>
      <c r="T95" s="151">
        <f t="shared" si="30"/>
        <v>199.41</v>
      </c>
      <c r="U95" s="151">
        <f t="shared" si="30"/>
        <v>32.409999999999997</v>
      </c>
      <c r="V95" s="152">
        <f>F95</f>
        <v>230.8</v>
      </c>
      <c r="W95" s="152">
        <f>G95</f>
        <v>95</v>
      </c>
      <c r="X95" s="151">
        <f t="shared" ref="X95:AI96" si="31">V95</f>
        <v>230.8</v>
      </c>
      <c r="Y95" s="151">
        <f t="shared" si="31"/>
        <v>95</v>
      </c>
      <c r="Z95" s="151">
        <f t="shared" si="31"/>
        <v>230.8</v>
      </c>
      <c r="AA95" s="151">
        <f t="shared" si="31"/>
        <v>95</v>
      </c>
      <c r="AB95" s="151">
        <f t="shared" si="31"/>
        <v>230.8</v>
      </c>
      <c r="AC95" s="151">
        <f t="shared" si="31"/>
        <v>95</v>
      </c>
      <c r="AD95" s="151">
        <f t="shared" si="31"/>
        <v>230.8</v>
      </c>
      <c r="AE95" s="151">
        <f t="shared" si="31"/>
        <v>95</v>
      </c>
      <c r="AF95" s="151">
        <f t="shared" si="31"/>
        <v>230.8</v>
      </c>
      <c r="AG95" s="151">
        <f t="shared" si="31"/>
        <v>95</v>
      </c>
      <c r="AH95" s="151">
        <f t="shared" si="31"/>
        <v>230.8</v>
      </c>
      <c r="AI95" s="151">
        <f t="shared" si="31"/>
        <v>95</v>
      </c>
    </row>
    <row r="96" spans="1:35" x14ac:dyDescent="0.25">
      <c r="C96" s="126" t="s">
        <v>123</v>
      </c>
      <c r="D96" s="83">
        <f>E$84</f>
        <v>199.41</v>
      </c>
      <c r="E96" s="83">
        <f>E$83</f>
        <v>32.409999999999997</v>
      </c>
      <c r="F96" s="83">
        <f>E$86</f>
        <v>230.8</v>
      </c>
      <c r="G96" s="83">
        <f>E$85</f>
        <v>95</v>
      </c>
      <c r="H96" s="152">
        <f>$D96</f>
        <v>199.41</v>
      </c>
      <c r="I96" s="152">
        <f>$E96</f>
        <v>32.409999999999997</v>
      </c>
      <c r="J96" s="151">
        <f t="shared" si="30"/>
        <v>199.41</v>
      </c>
      <c r="K96" s="151">
        <f t="shared" si="30"/>
        <v>32.409999999999997</v>
      </c>
      <c r="L96" s="151">
        <f t="shared" si="30"/>
        <v>199.41</v>
      </c>
      <c r="M96" s="151">
        <f t="shared" si="30"/>
        <v>32.409999999999997</v>
      </c>
      <c r="N96" s="151">
        <f t="shared" si="30"/>
        <v>199.41</v>
      </c>
      <c r="O96" s="151">
        <f t="shared" si="30"/>
        <v>32.409999999999997</v>
      </c>
      <c r="P96" s="151">
        <f t="shared" si="30"/>
        <v>199.41</v>
      </c>
      <c r="Q96" s="151">
        <f t="shared" si="30"/>
        <v>32.409999999999997</v>
      </c>
      <c r="R96" s="151">
        <f t="shared" si="30"/>
        <v>199.41</v>
      </c>
      <c r="S96" s="151">
        <f t="shared" si="30"/>
        <v>32.409999999999997</v>
      </c>
      <c r="T96" s="151">
        <f t="shared" si="30"/>
        <v>199.41</v>
      </c>
      <c r="U96" s="151">
        <f t="shared" si="30"/>
        <v>32.409999999999997</v>
      </c>
      <c r="V96" s="152">
        <f>F96</f>
        <v>230.8</v>
      </c>
      <c r="W96" s="152">
        <f>G96</f>
        <v>95</v>
      </c>
      <c r="X96" s="151">
        <f t="shared" si="31"/>
        <v>230.8</v>
      </c>
      <c r="Y96" s="151">
        <f t="shared" si="31"/>
        <v>95</v>
      </c>
      <c r="Z96" s="151">
        <f t="shared" si="31"/>
        <v>230.8</v>
      </c>
      <c r="AA96" s="151">
        <f t="shared" si="31"/>
        <v>95</v>
      </c>
      <c r="AB96" s="151">
        <f t="shared" si="31"/>
        <v>230.8</v>
      </c>
      <c r="AC96" s="151">
        <f t="shared" si="31"/>
        <v>95</v>
      </c>
      <c r="AD96" s="151">
        <f t="shared" si="31"/>
        <v>230.8</v>
      </c>
      <c r="AE96" s="151">
        <f t="shared" si="31"/>
        <v>95</v>
      </c>
      <c r="AF96" s="151">
        <f t="shared" si="31"/>
        <v>230.8</v>
      </c>
      <c r="AG96" s="151">
        <f t="shared" si="31"/>
        <v>95</v>
      </c>
      <c r="AH96" s="151">
        <f t="shared" si="31"/>
        <v>230.8</v>
      </c>
      <c r="AI96" s="151">
        <f t="shared" si="31"/>
        <v>95</v>
      </c>
    </row>
    <row r="97" spans="1:37" x14ac:dyDescent="0.25">
      <c r="G97" s="63"/>
    </row>
    <row r="98" spans="1:37" x14ac:dyDescent="0.25">
      <c r="C98" s="125" t="s">
        <v>132</v>
      </c>
      <c r="D98" s="153">
        <f>$C$21</f>
        <v>199.41</v>
      </c>
      <c r="E98" s="153">
        <f>$C$20</f>
        <v>32.409999999999997</v>
      </c>
      <c r="F98" s="153">
        <f>$C$17</f>
        <v>230.8</v>
      </c>
      <c r="G98" s="153">
        <f>$C$16</f>
        <v>95</v>
      </c>
      <c r="H98" s="152">
        <f>D98</f>
        <v>199.41</v>
      </c>
      <c r="I98" s="152">
        <f>E98</f>
        <v>32.409999999999997</v>
      </c>
      <c r="J98" s="151">
        <f t="shared" ref="J98" si="32">H98</f>
        <v>199.41</v>
      </c>
      <c r="K98" s="151">
        <f t="shared" ref="K98" si="33">I98</f>
        <v>32.409999999999997</v>
      </c>
      <c r="L98" s="151">
        <f t="shared" ref="L98" si="34">J98</f>
        <v>199.41</v>
      </c>
      <c r="M98" s="151">
        <f t="shared" ref="M98" si="35">K98</f>
        <v>32.409999999999997</v>
      </c>
      <c r="N98" s="151">
        <f t="shared" ref="N98" si="36">L98</f>
        <v>199.41</v>
      </c>
      <c r="O98" s="151">
        <f t="shared" ref="O98" si="37">M98</f>
        <v>32.409999999999997</v>
      </c>
      <c r="P98" s="151">
        <f t="shared" ref="P98" si="38">N98</f>
        <v>199.41</v>
      </c>
      <c r="Q98" s="151">
        <f t="shared" ref="Q98" si="39">O98</f>
        <v>32.409999999999997</v>
      </c>
      <c r="R98" s="151">
        <f t="shared" ref="R98" si="40">P98</f>
        <v>199.41</v>
      </c>
      <c r="S98" s="151">
        <f t="shared" ref="S98" si="41">Q98</f>
        <v>32.409999999999997</v>
      </c>
      <c r="T98" s="151">
        <f t="shared" ref="T98" si="42">R98</f>
        <v>199.41</v>
      </c>
      <c r="U98" s="151">
        <f t="shared" ref="U98" si="43">S98</f>
        <v>32.409999999999997</v>
      </c>
      <c r="V98" s="152">
        <f>F98</f>
        <v>230.8</v>
      </c>
      <c r="W98" s="152">
        <f>G98</f>
        <v>95</v>
      </c>
      <c r="X98" s="151">
        <f t="shared" ref="X98" si="44">V98</f>
        <v>230.8</v>
      </c>
      <c r="Y98" s="151">
        <f t="shared" ref="Y98" si="45">W98</f>
        <v>95</v>
      </c>
      <c r="Z98" s="151">
        <f t="shared" ref="Z98" si="46">X98</f>
        <v>230.8</v>
      </c>
      <c r="AA98" s="151">
        <f t="shared" ref="AA98" si="47">Y98</f>
        <v>95</v>
      </c>
      <c r="AB98" s="151">
        <f t="shared" ref="AB98" si="48">Z98</f>
        <v>230.8</v>
      </c>
      <c r="AC98" s="151">
        <f t="shared" ref="AC98" si="49">AA98</f>
        <v>95</v>
      </c>
      <c r="AD98" s="151">
        <f t="shared" ref="AD98" si="50">AB98</f>
        <v>230.8</v>
      </c>
      <c r="AE98" s="151">
        <f t="shared" ref="AE98" si="51">AC98</f>
        <v>95</v>
      </c>
      <c r="AF98" s="151">
        <f t="shared" ref="AF98" si="52">AD98</f>
        <v>230.8</v>
      </c>
      <c r="AG98" s="151">
        <f t="shared" ref="AG98" si="53">AE98</f>
        <v>95</v>
      </c>
      <c r="AH98" s="151">
        <f t="shared" ref="AH98" si="54">AF98</f>
        <v>230.8</v>
      </c>
      <c r="AI98" s="151">
        <f t="shared" ref="AI98" si="55">AG98</f>
        <v>95</v>
      </c>
    </row>
    <row r="99" spans="1:37" x14ac:dyDescent="0.25">
      <c r="C99" s="125"/>
      <c r="D99" s="153"/>
      <c r="E99" s="153"/>
      <c r="F99" s="153"/>
      <c r="G99" s="153"/>
      <c r="H99" s="152"/>
      <c r="I99" s="152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2"/>
      <c r="W99" s="152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</row>
    <row r="100" spans="1:37" ht="13.8" thickBot="1" x14ac:dyDescent="0.3"/>
    <row r="101" spans="1:37" s="6" customFormat="1" ht="15.75" customHeight="1" x14ac:dyDescent="0.3">
      <c r="A101" s="154" t="s">
        <v>16</v>
      </c>
      <c r="B101" s="40"/>
      <c r="C101" s="25"/>
      <c r="D101" s="195" t="s">
        <v>109</v>
      </c>
      <c r="E101" s="194"/>
      <c r="F101" s="195" t="s">
        <v>51</v>
      </c>
      <c r="G101" s="196"/>
      <c r="H101" s="15" t="s">
        <v>110</v>
      </c>
      <c r="I101" s="16"/>
      <c r="J101" s="16" t="s">
        <v>111</v>
      </c>
      <c r="K101" s="16"/>
      <c r="L101" s="16" t="s">
        <v>112</v>
      </c>
      <c r="M101" s="16"/>
      <c r="N101" s="16" t="s">
        <v>113</v>
      </c>
      <c r="O101" s="16"/>
      <c r="P101" s="16" t="s">
        <v>114</v>
      </c>
      <c r="Q101" s="16"/>
      <c r="R101" s="16" t="s">
        <v>115</v>
      </c>
      <c r="S101" s="16"/>
      <c r="T101" s="16" t="s">
        <v>116</v>
      </c>
      <c r="U101" s="17"/>
      <c r="V101" s="15" t="s">
        <v>102</v>
      </c>
      <c r="W101" s="16"/>
      <c r="X101" s="16" t="s">
        <v>103</v>
      </c>
      <c r="Y101" s="16"/>
      <c r="Z101" s="16" t="s">
        <v>104</v>
      </c>
      <c r="AA101" s="16"/>
      <c r="AB101" s="16" t="s">
        <v>105</v>
      </c>
      <c r="AC101" s="16"/>
      <c r="AD101" s="16" t="s">
        <v>22</v>
      </c>
      <c r="AE101" s="16"/>
      <c r="AF101" s="16" t="s">
        <v>23</v>
      </c>
      <c r="AG101" s="16"/>
      <c r="AH101" s="16" t="s">
        <v>24</v>
      </c>
      <c r="AI101" s="18"/>
    </row>
    <row r="102" spans="1:37" s="14" customFormat="1" ht="15.75" customHeight="1" thickBot="1" x14ac:dyDescent="0.3">
      <c r="A102" s="160" t="s">
        <v>79</v>
      </c>
      <c r="B102" s="50"/>
      <c r="C102" s="41"/>
      <c r="D102" s="116" t="s">
        <v>52</v>
      </c>
      <c r="E102" s="117" t="s">
        <v>38</v>
      </c>
      <c r="F102" s="118" t="s">
        <v>52</v>
      </c>
      <c r="G102" s="119" t="s">
        <v>38</v>
      </c>
      <c r="H102" s="120" t="s">
        <v>52</v>
      </c>
      <c r="I102" s="117" t="s">
        <v>38</v>
      </c>
      <c r="J102" s="117" t="s">
        <v>52</v>
      </c>
      <c r="K102" s="117" t="s">
        <v>38</v>
      </c>
      <c r="L102" s="117" t="s">
        <v>52</v>
      </c>
      <c r="M102" s="117" t="s">
        <v>38</v>
      </c>
      <c r="N102" s="117" t="s">
        <v>52</v>
      </c>
      <c r="O102" s="117" t="s">
        <v>38</v>
      </c>
      <c r="P102" s="117" t="s">
        <v>52</v>
      </c>
      <c r="Q102" s="117" t="s">
        <v>38</v>
      </c>
      <c r="R102" s="117" t="s">
        <v>52</v>
      </c>
      <c r="S102" s="117" t="s">
        <v>38</v>
      </c>
      <c r="T102" s="117" t="s">
        <v>52</v>
      </c>
      <c r="U102" s="121" t="s">
        <v>38</v>
      </c>
      <c r="V102" s="120" t="s">
        <v>52</v>
      </c>
      <c r="W102" s="117" t="s">
        <v>38</v>
      </c>
      <c r="X102" s="117" t="s">
        <v>52</v>
      </c>
      <c r="Y102" s="117" t="s">
        <v>38</v>
      </c>
      <c r="Z102" s="117" t="s">
        <v>52</v>
      </c>
      <c r="AA102" s="117" t="s">
        <v>38</v>
      </c>
      <c r="AB102" s="117" t="s">
        <v>52</v>
      </c>
      <c r="AC102" s="117" t="s">
        <v>38</v>
      </c>
      <c r="AD102" s="117" t="s">
        <v>52</v>
      </c>
      <c r="AE102" s="117" t="s">
        <v>38</v>
      </c>
      <c r="AF102" s="117" t="s">
        <v>52</v>
      </c>
      <c r="AG102" s="117" t="s">
        <v>38</v>
      </c>
      <c r="AH102" s="117" t="s">
        <v>52</v>
      </c>
      <c r="AI102" s="122" t="s">
        <v>38</v>
      </c>
    </row>
    <row r="103" spans="1:37" s="7" customFormat="1" x14ac:dyDescent="0.25">
      <c r="A103" s="38" t="s">
        <v>81</v>
      </c>
      <c r="B103" s="43"/>
      <c r="C103" s="48"/>
      <c r="D103" s="155"/>
      <c r="E103" s="156"/>
      <c r="F103" s="155"/>
      <c r="G103" s="157"/>
      <c r="H103" s="155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8"/>
      <c r="V103" s="159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7"/>
    </row>
    <row r="104" spans="1:37" s="7" customFormat="1" x14ac:dyDescent="0.25">
      <c r="A104" s="11" t="s">
        <v>88</v>
      </c>
      <c r="C104" s="10"/>
      <c r="D104" s="144">
        <f>D$95</f>
        <v>199.41</v>
      </c>
      <c r="E104" s="142">
        <f t="shared" ref="E104:G104" si="56">E$95</f>
        <v>32.409999999999997</v>
      </c>
      <c r="F104" s="142">
        <f t="shared" si="56"/>
        <v>230.8</v>
      </c>
      <c r="G104" s="143">
        <f t="shared" si="56"/>
        <v>95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</row>
    <row r="105" spans="1:37" s="7" customFormat="1" ht="6" customHeight="1" x14ac:dyDescent="0.25">
      <c r="A105" s="12"/>
      <c r="B105" s="44"/>
      <c r="C105" s="49"/>
      <c r="D105" s="53"/>
      <c r="E105" s="52"/>
      <c r="F105" s="52"/>
      <c r="G105" s="54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</row>
    <row r="106" spans="1:37" s="7" customFormat="1" x14ac:dyDescent="0.25">
      <c r="A106" s="38" t="s">
        <v>26</v>
      </c>
      <c r="B106" s="43"/>
      <c r="C106" s="48"/>
      <c r="D106" s="53"/>
      <c r="E106" s="52"/>
      <c r="F106" s="52"/>
      <c r="G106" s="54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</row>
    <row r="107" spans="1:37" s="7" customFormat="1" x14ac:dyDescent="0.25">
      <c r="A107" s="11" t="s">
        <v>89</v>
      </c>
      <c r="B107" s="44"/>
      <c r="C107" s="49"/>
      <c r="D107" s="53"/>
      <c r="E107" s="52"/>
      <c r="F107" s="52"/>
      <c r="G107" s="54"/>
      <c r="H107" s="147">
        <f>SUM(H$92,H$95)</f>
        <v>1364.21</v>
      </c>
      <c r="I107" s="147">
        <f t="shared" ref="I107:AI107" si="57">SUM(I$92,I$95)</f>
        <v>1197.21</v>
      </c>
      <c r="J107" s="147">
        <f t="shared" si="57"/>
        <v>1294.3600000000001</v>
      </c>
      <c r="K107" s="147">
        <f t="shared" si="57"/>
        <v>1127.3600000000001</v>
      </c>
      <c r="L107" s="147">
        <f t="shared" si="57"/>
        <v>1241.01</v>
      </c>
      <c r="M107" s="147">
        <f t="shared" si="57"/>
        <v>1074.01</v>
      </c>
      <c r="N107" s="147">
        <f t="shared" si="57"/>
        <v>1323.3600000000001</v>
      </c>
      <c r="O107" s="147">
        <f t="shared" si="57"/>
        <v>1156.3600000000001</v>
      </c>
      <c r="P107" s="147">
        <f t="shared" si="57"/>
        <v>1366.3100000000002</v>
      </c>
      <c r="Q107" s="147">
        <f t="shared" si="57"/>
        <v>1199.3100000000002</v>
      </c>
      <c r="R107" s="147">
        <f t="shared" si="57"/>
        <v>1230.03</v>
      </c>
      <c r="S107" s="147">
        <f t="shared" si="57"/>
        <v>1063.03</v>
      </c>
      <c r="T107" s="147">
        <f t="shared" si="57"/>
        <v>1043.53</v>
      </c>
      <c r="U107" s="147">
        <f t="shared" si="57"/>
        <v>876.53</v>
      </c>
      <c r="V107" s="147">
        <f t="shared" si="57"/>
        <v>1395.6</v>
      </c>
      <c r="W107" s="147">
        <f t="shared" si="57"/>
        <v>1259.8</v>
      </c>
      <c r="X107" s="147">
        <f t="shared" si="57"/>
        <v>1325.75</v>
      </c>
      <c r="Y107" s="147">
        <f t="shared" si="57"/>
        <v>1189.95</v>
      </c>
      <c r="Z107" s="147">
        <f t="shared" si="57"/>
        <v>1272.3999999999999</v>
      </c>
      <c r="AA107" s="147">
        <f t="shared" si="57"/>
        <v>1136.5999999999999</v>
      </c>
      <c r="AB107" s="147">
        <f t="shared" si="57"/>
        <v>1354.75</v>
      </c>
      <c r="AC107" s="147">
        <f t="shared" si="57"/>
        <v>1218.95</v>
      </c>
      <c r="AD107" s="147">
        <f t="shared" si="57"/>
        <v>1397.7</v>
      </c>
      <c r="AE107" s="147">
        <f t="shared" si="57"/>
        <v>1261.9000000000001</v>
      </c>
      <c r="AF107" s="147">
        <f t="shared" si="57"/>
        <v>1261.4199999999998</v>
      </c>
      <c r="AG107" s="147">
        <f t="shared" si="57"/>
        <v>1125.6199999999999</v>
      </c>
      <c r="AH107" s="147">
        <f t="shared" si="57"/>
        <v>1074.92</v>
      </c>
      <c r="AI107" s="147">
        <f t="shared" si="57"/>
        <v>939.12</v>
      </c>
      <c r="AK107" s="161"/>
    </row>
    <row r="108" spans="1:37" s="7" customFormat="1" x14ac:dyDescent="0.25">
      <c r="A108" s="11" t="s">
        <v>90</v>
      </c>
      <c r="B108" s="44"/>
      <c r="C108" s="49"/>
      <c r="D108" s="53"/>
      <c r="E108" s="52"/>
      <c r="F108" s="52"/>
      <c r="G108" s="54"/>
      <c r="H108" s="147">
        <f>SUM(H$91,H$96)</f>
        <v>1258.3200000000002</v>
      </c>
      <c r="I108" s="147">
        <f t="shared" ref="I108:AI108" si="58">SUM(I$91,I$96)</f>
        <v>1091.3200000000002</v>
      </c>
      <c r="J108" s="147">
        <f t="shared" si="58"/>
        <v>1194.82</v>
      </c>
      <c r="K108" s="147">
        <f t="shared" si="58"/>
        <v>1027.82</v>
      </c>
      <c r="L108" s="147">
        <f t="shared" si="58"/>
        <v>1146.32</v>
      </c>
      <c r="M108" s="147">
        <f t="shared" si="58"/>
        <v>979.31999999999994</v>
      </c>
      <c r="N108" s="147">
        <f t="shared" si="58"/>
        <v>1221.18</v>
      </c>
      <c r="O108" s="147">
        <f t="shared" si="58"/>
        <v>1054.18</v>
      </c>
      <c r="P108" s="147">
        <f t="shared" si="58"/>
        <v>1260.23</v>
      </c>
      <c r="Q108" s="147">
        <f t="shared" si="58"/>
        <v>1093.23</v>
      </c>
      <c r="R108" s="147">
        <f t="shared" si="58"/>
        <v>1136.3399999999999</v>
      </c>
      <c r="S108" s="147">
        <f t="shared" si="58"/>
        <v>969.33999999999992</v>
      </c>
      <c r="T108" s="147">
        <f t="shared" si="58"/>
        <v>1043.53</v>
      </c>
      <c r="U108" s="147">
        <f t="shared" si="58"/>
        <v>876.53</v>
      </c>
      <c r="V108" s="147">
        <f t="shared" si="58"/>
        <v>1289.71</v>
      </c>
      <c r="W108" s="147">
        <f t="shared" si="58"/>
        <v>1153.9100000000001</v>
      </c>
      <c r="X108" s="147">
        <f t="shared" si="58"/>
        <v>1226.21</v>
      </c>
      <c r="Y108" s="147">
        <f t="shared" si="58"/>
        <v>1090.4099999999999</v>
      </c>
      <c r="Z108" s="147">
        <f t="shared" si="58"/>
        <v>1177.71</v>
      </c>
      <c r="AA108" s="147">
        <f t="shared" si="58"/>
        <v>1041.9099999999999</v>
      </c>
      <c r="AB108" s="147">
        <f t="shared" si="58"/>
        <v>1252.57</v>
      </c>
      <c r="AC108" s="147">
        <f t="shared" si="58"/>
        <v>1116.77</v>
      </c>
      <c r="AD108" s="147">
        <f t="shared" si="58"/>
        <v>1291.6199999999999</v>
      </c>
      <c r="AE108" s="147">
        <f t="shared" si="58"/>
        <v>1155.82</v>
      </c>
      <c r="AF108" s="147">
        <f t="shared" si="58"/>
        <v>1167.73</v>
      </c>
      <c r="AG108" s="147">
        <f t="shared" si="58"/>
        <v>1031.9299999999998</v>
      </c>
      <c r="AH108" s="147">
        <f t="shared" si="58"/>
        <v>1074.92</v>
      </c>
      <c r="AI108" s="147">
        <f t="shared" si="58"/>
        <v>939.12</v>
      </c>
      <c r="AK108" s="161"/>
    </row>
    <row r="109" spans="1:37" s="7" customFormat="1" x14ac:dyDescent="0.25">
      <c r="A109" s="11" t="s">
        <v>91</v>
      </c>
      <c r="B109" s="44"/>
      <c r="C109" s="49"/>
      <c r="D109" s="147">
        <f>SUM(D$95:D$96)</f>
        <v>398.82</v>
      </c>
      <c r="E109" s="145">
        <f t="shared" ref="E109:G109" si="59">SUM(E$95:E$96)</f>
        <v>64.819999999999993</v>
      </c>
      <c r="F109" s="145">
        <f t="shared" si="59"/>
        <v>461.6</v>
      </c>
      <c r="G109" s="146">
        <f t="shared" si="59"/>
        <v>190</v>
      </c>
      <c r="H109" s="147" t="s">
        <v>117</v>
      </c>
      <c r="I109" s="147" t="s">
        <v>117</v>
      </c>
      <c r="J109" s="147" t="s">
        <v>117</v>
      </c>
      <c r="K109" s="147" t="s">
        <v>117</v>
      </c>
      <c r="L109" s="147" t="s">
        <v>117</v>
      </c>
      <c r="M109" s="147" t="s">
        <v>117</v>
      </c>
      <c r="N109" s="147" t="s">
        <v>117</v>
      </c>
      <c r="O109" s="147" t="s">
        <v>117</v>
      </c>
      <c r="P109" s="147" t="s">
        <v>117</v>
      </c>
      <c r="Q109" s="147" t="s">
        <v>117</v>
      </c>
      <c r="R109" s="147" t="s">
        <v>117</v>
      </c>
      <c r="S109" s="147" t="s">
        <v>117</v>
      </c>
      <c r="T109" s="147" t="s">
        <v>117</v>
      </c>
      <c r="U109" s="147" t="s">
        <v>117</v>
      </c>
      <c r="V109" s="147" t="s">
        <v>117</v>
      </c>
      <c r="W109" s="147" t="s">
        <v>117</v>
      </c>
      <c r="X109" s="147" t="s">
        <v>117</v>
      </c>
      <c r="Y109" s="147" t="s">
        <v>117</v>
      </c>
      <c r="Z109" s="147" t="s">
        <v>117</v>
      </c>
      <c r="AA109" s="147" t="s">
        <v>117</v>
      </c>
      <c r="AB109" s="147" t="s">
        <v>117</v>
      </c>
      <c r="AC109" s="147" t="s">
        <v>117</v>
      </c>
      <c r="AD109" s="147" t="s">
        <v>117</v>
      </c>
      <c r="AE109" s="147" t="s">
        <v>117</v>
      </c>
      <c r="AF109" s="147" t="s">
        <v>117</v>
      </c>
      <c r="AG109" s="147" t="s">
        <v>117</v>
      </c>
      <c r="AH109" s="147" t="s">
        <v>117</v>
      </c>
      <c r="AI109" s="147" t="s">
        <v>117</v>
      </c>
      <c r="AK109" s="161"/>
    </row>
    <row r="110" spans="1:37" s="7" customFormat="1" ht="6" customHeight="1" x14ac:dyDescent="0.25">
      <c r="A110" s="12"/>
      <c r="B110" s="44"/>
      <c r="C110" s="49"/>
      <c r="D110" s="147"/>
      <c r="E110" s="145"/>
      <c r="F110" s="145"/>
      <c r="G110" s="146"/>
      <c r="H110" s="147" t="s">
        <v>117</v>
      </c>
      <c r="I110" s="147" t="s">
        <v>117</v>
      </c>
      <c r="J110" s="147" t="s">
        <v>117</v>
      </c>
      <c r="K110" s="147" t="s">
        <v>117</v>
      </c>
      <c r="L110" s="147" t="s">
        <v>117</v>
      </c>
      <c r="M110" s="147" t="s">
        <v>117</v>
      </c>
      <c r="N110" s="147" t="s">
        <v>117</v>
      </c>
      <c r="O110" s="147" t="s">
        <v>117</v>
      </c>
      <c r="P110" s="147" t="s">
        <v>117</v>
      </c>
      <c r="Q110" s="147" t="s">
        <v>117</v>
      </c>
      <c r="R110" s="147" t="s">
        <v>117</v>
      </c>
      <c r="S110" s="147" t="s">
        <v>117</v>
      </c>
      <c r="T110" s="147" t="s">
        <v>117</v>
      </c>
      <c r="U110" s="147" t="s">
        <v>117</v>
      </c>
      <c r="V110" s="147" t="s">
        <v>117</v>
      </c>
      <c r="W110" s="147" t="s">
        <v>117</v>
      </c>
      <c r="X110" s="147" t="s">
        <v>117</v>
      </c>
      <c r="Y110" s="147" t="s">
        <v>117</v>
      </c>
      <c r="Z110" s="147" t="s">
        <v>117</v>
      </c>
      <c r="AA110" s="147" t="s">
        <v>117</v>
      </c>
      <c r="AB110" s="147" t="s">
        <v>117</v>
      </c>
      <c r="AC110" s="147" t="s">
        <v>117</v>
      </c>
      <c r="AD110" s="147" t="s">
        <v>117</v>
      </c>
      <c r="AE110" s="147" t="s">
        <v>117</v>
      </c>
      <c r="AF110" s="147" t="s">
        <v>117</v>
      </c>
      <c r="AG110" s="147" t="s">
        <v>117</v>
      </c>
      <c r="AH110" s="147" t="s">
        <v>117</v>
      </c>
      <c r="AI110" s="147" t="s">
        <v>117</v>
      </c>
    </row>
    <row r="111" spans="1:37" s="7" customFormat="1" x14ac:dyDescent="0.25">
      <c r="A111" s="38" t="s">
        <v>83</v>
      </c>
      <c r="B111" s="43"/>
      <c r="C111" s="48"/>
      <c r="D111" s="147"/>
      <c r="E111" s="145"/>
      <c r="F111" s="145"/>
      <c r="G111" s="146"/>
      <c r="H111" s="147" t="s">
        <v>117</v>
      </c>
      <c r="I111" s="147" t="s">
        <v>117</v>
      </c>
      <c r="J111" s="147" t="s">
        <v>117</v>
      </c>
      <c r="K111" s="147" t="s">
        <v>117</v>
      </c>
      <c r="L111" s="147" t="s">
        <v>117</v>
      </c>
      <c r="M111" s="147" t="s">
        <v>117</v>
      </c>
      <c r="N111" s="147" t="s">
        <v>117</v>
      </c>
      <c r="O111" s="147" t="s">
        <v>117</v>
      </c>
      <c r="P111" s="147" t="s">
        <v>117</v>
      </c>
      <c r="Q111" s="147" t="s">
        <v>117</v>
      </c>
      <c r="R111" s="147" t="s">
        <v>117</v>
      </c>
      <c r="S111" s="147" t="s">
        <v>117</v>
      </c>
      <c r="T111" s="147" t="s">
        <v>117</v>
      </c>
      <c r="U111" s="147" t="s">
        <v>117</v>
      </c>
      <c r="V111" s="147" t="s">
        <v>117</v>
      </c>
      <c r="W111" s="147" t="s">
        <v>117</v>
      </c>
      <c r="X111" s="147" t="s">
        <v>117</v>
      </c>
      <c r="Y111" s="147" t="s">
        <v>117</v>
      </c>
      <c r="Z111" s="147" t="s">
        <v>117</v>
      </c>
      <c r="AA111" s="147" t="s">
        <v>117</v>
      </c>
      <c r="AB111" s="147" t="s">
        <v>117</v>
      </c>
      <c r="AC111" s="147" t="s">
        <v>117</v>
      </c>
      <c r="AD111" s="147" t="s">
        <v>117</v>
      </c>
      <c r="AE111" s="147" t="s">
        <v>117</v>
      </c>
      <c r="AF111" s="147" t="s">
        <v>117</v>
      </c>
      <c r="AG111" s="147" t="s">
        <v>117</v>
      </c>
      <c r="AH111" s="147" t="s">
        <v>117</v>
      </c>
      <c r="AI111" s="147" t="s">
        <v>117</v>
      </c>
    </row>
    <row r="112" spans="1:37" s="7" customFormat="1" x14ac:dyDescent="0.25">
      <c r="A112" s="11" t="s">
        <v>92</v>
      </c>
      <c r="B112" s="44"/>
      <c r="C112" s="49"/>
      <c r="D112" s="147"/>
      <c r="E112" s="145"/>
      <c r="F112" s="145"/>
      <c r="G112" s="146"/>
      <c r="H112" s="147">
        <f>SUM(H$94,H$95)</f>
        <v>940.65</v>
      </c>
      <c r="I112" s="147">
        <f t="shared" ref="I112:AI112" si="60">SUM(I$94,I$95)</f>
        <v>773.65</v>
      </c>
      <c r="J112" s="147">
        <f t="shared" si="60"/>
        <v>896.19999999999993</v>
      </c>
      <c r="K112" s="147">
        <f t="shared" si="60"/>
        <v>729.19999999999993</v>
      </c>
      <c r="L112" s="147">
        <f t="shared" si="60"/>
        <v>862.25</v>
      </c>
      <c r="M112" s="147">
        <f t="shared" si="60"/>
        <v>695.25</v>
      </c>
      <c r="N112" s="147">
        <f t="shared" si="60"/>
        <v>914.65</v>
      </c>
      <c r="O112" s="147">
        <f t="shared" si="60"/>
        <v>747.65</v>
      </c>
      <c r="P112" s="147">
        <f t="shared" si="60"/>
        <v>941.98</v>
      </c>
      <c r="Q112" s="147">
        <f t="shared" si="60"/>
        <v>774.98</v>
      </c>
      <c r="R112" s="147">
        <f t="shared" si="60"/>
        <v>855.26</v>
      </c>
      <c r="S112" s="147">
        <f t="shared" si="60"/>
        <v>688.26</v>
      </c>
      <c r="T112" s="147">
        <f t="shared" si="60"/>
        <v>790.29</v>
      </c>
      <c r="U112" s="147">
        <f t="shared" si="60"/>
        <v>623.29</v>
      </c>
      <c r="V112" s="147">
        <f t="shared" si="60"/>
        <v>972.04</v>
      </c>
      <c r="W112" s="147">
        <f t="shared" si="60"/>
        <v>836.24</v>
      </c>
      <c r="X112" s="147">
        <f t="shared" si="60"/>
        <v>927.58999999999992</v>
      </c>
      <c r="Y112" s="147">
        <f t="shared" si="60"/>
        <v>791.79</v>
      </c>
      <c r="Z112" s="147">
        <f t="shared" si="60"/>
        <v>893.6400000000001</v>
      </c>
      <c r="AA112" s="147">
        <f t="shared" si="60"/>
        <v>757.84</v>
      </c>
      <c r="AB112" s="147">
        <f t="shared" si="60"/>
        <v>946.04</v>
      </c>
      <c r="AC112" s="147">
        <f t="shared" si="60"/>
        <v>810.24</v>
      </c>
      <c r="AD112" s="147">
        <f t="shared" si="60"/>
        <v>973.37000000000012</v>
      </c>
      <c r="AE112" s="147">
        <f t="shared" si="60"/>
        <v>837.57</v>
      </c>
      <c r="AF112" s="147">
        <f t="shared" si="60"/>
        <v>886.65000000000009</v>
      </c>
      <c r="AG112" s="147">
        <f t="shared" si="60"/>
        <v>750.85</v>
      </c>
      <c r="AH112" s="147">
        <f t="shared" si="60"/>
        <v>821.68000000000006</v>
      </c>
      <c r="AI112" s="147">
        <f t="shared" si="60"/>
        <v>685.88</v>
      </c>
    </row>
    <row r="113" spans="1:35" s="7" customFormat="1" ht="6" customHeight="1" x14ac:dyDescent="0.25">
      <c r="A113" s="12"/>
      <c r="B113" s="44"/>
      <c r="C113" s="49"/>
      <c r="D113" s="147"/>
      <c r="E113" s="145"/>
      <c r="F113" s="145"/>
      <c r="G113" s="146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</row>
    <row r="114" spans="1:35" s="7" customFormat="1" x14ac:dyDescent="0.25">
      <c r="A114" s="38" t="s">
        <v>82</v>
      </c>
      <c r="B114" s="43"/>
      <c r="C114" s="48"/>
      <c r="D114" s="147"/>
      <c r="E114" s="145"/>
      <c r="F114" s="145"/>
      <c r="G114" s="146"/>
      <c r="H114" s="147" t="s">
        <v>117</v>
      </c>
      <c r="I114" s="147" t="s">
        <v>117</v>
      </c>
      <c r="J114" s="147" t="s">
        <v>117</v>
      </c>
      <c r="K114" s="147" t="s">
        <v>117</v>
      </c>
      <c r="L114" s="147" t="s">
        <v>117</v>
      </c>
      <c r="M114" s="147" t="s">
        <v>117</v>
      </c>
      <c r="N114" s="147" t="s">
        <v>117</v>
      </c>
      <c r="O114" s="147" t="s">
        <v>117</v>
      </c>
      <c r="P114" s="147" t="s">
        <v>117</v>
      </c>
      <c r="Q114" s="147" t="s">
        <v>117</v>
      </c>
      <c r="R114" s="147" t="s">
        <v>117</v>
      </c>
      <c r="S114" s="147" t="s">
        <v>117</v>
      </c>
      <c r="T114" s="147" t="s">
        <v>117</v>
      </c>
      <c r="U114" s="147" t="s">
        <v>117</v>
      </c>
      <c r="V114" s="147" t="s">
        <v>117</v>
      </c>
      <c r="W114" s="147" t="s">
        <v>117</v>
      </c>
      <c r="X114" s="147" t="s">
        <v>117</v>
      </c>
      <c r="Y114" s="147" t="s">
        <v>117</v>
      </c>
      <c r="Z114" s="147" t="s">
        <v>117</v>
      </c>
      <c r="AA114" s="147" t="s">
        <v>117</v>
      </c>
      <c r="AB114" s="147" t="s">
        <v>117</v>
      </c>
      <c r="AC114" s="147" t="s">
        <v>117</v>
      </c>
      <c r="AD114" s="147" t="s">
        <v>117</v>
      </c>
      <c r="AE114" s="147" t="s">
        <v>117</v>
      </c>
      <c r="AF114" s="147" t="s">
        <v>117</v>
      </c>
      <c r="AG114" s="147" t="s">
        <v>117</v>
      </c>
      <c r="AH114" s="147" t="s">
        <v>117</v>
      </c>
      <c r="AI114" s="147" t="s">
        <v>117</v>
      </c>
    </row>
    <row r="115" spans="1:35" s="7" customFormat="1" x14ac:dyDescent="0.25">
      <c r="A115" s="11" t="s">
        <v>93</v>
      </c>
      <c r="B115" s="44"/>
      <c r="C115" s="49"/>
      <c r="D115" s="147"/>
      <c r="E115" s="145"/>
      <c r="F115" s="145"/>
      <c r="G115" s="146"/>
      <c r="H115" s="147">
        <f>SUM(H$91,H$96)</f>
        <v>1258.3200000000002</v>
      </c>
      <c r="I115" s="147">
        <f t="shared" ref="I115:AI115" si="61">SUM(I$91,I$96)</f>
        <v>1091.3200000000002</v>
      </c>
      <c r="J115" s="147">
        <f t="shared" si="61"/>
        <v>1194.82</v>
      </c>
      <c r="K115" s="147">
        <f t="shared" si="61"/>
        <v>1027.82</v>
      </c>
      <c r="L115" s="147">
        <f t="shared" si="61"/>
        <v>1146.32</v>
      </c>
      <c r="M115" s="147">
        <f t="shared" si="61"/>
        <v>979.31999999999994</v>
      </c>
      <c r="N115" s="147">
        <f t="shared" si="61"/>
        <v>1221.18</v>
      </c>
      <c r="O115" s="147">
        <f t="shared" si="61"/>
        <v>1054.18</v>
      </c>
      <c r="P115" s="147">
        <f t="shared" si="61"/>
        <v>1260.23</v>
      </c>
      <c r="Q115" s="147">
        <f t="shared" si="61"/>
        <v>1093.23</v>
      </c>
      <c r="R115" s="147">
        <f t="shared" si="61"/>
        <v>1136.3399999999999</v>
      </c>
      <c r="S115" s="147">
        <f t="shared" si="61"/>
        <v>969.33999999999992</v>
      </c>
      <c r="T115" s="147">
        <f t="shared" si="61"/>
        <v>1043.53</v>
      </c>
      <c r="U115" s="147">
        <f t="shared" si="61"/>
        <v>876.53</v>
      </c>
      <c r="V115" s="147">
        <f t="shared" si="61"/>
        <v>1289.71</v>
      </c>
      <c r="W115" s="147">
        <f t="shared" si="61"/>
        <v>1153.9100000000001</v>
      </c>
      <c r="X115" s="147">
        <f t="shared" si="61"/>
        <v>1226.21</v>
      </c>
      <c r="Y115" s="147">
        <f t="shared" si="61"/>
        <v>1090.4099999999999</v>
      </c>
      <c r="Z115" s="147">
        <f t="shared" si="61"/>
        <v>1177.71</v>
      </c>
      <c r="AA115" s="147">
        <f t="shared" si="61"/>
        <v>1041.9099999999999</v>
      </c>
      <c r="AB115" s="147">
        <f t="shared" si="61"/>
        <v>1252.57</v>
      </c>
      <c r="AC115" s="147">
        <f t="shared" si="61"/>
        <v>1116.77</v>
      </c>
      <c r="AD115" s="147">
        <f t="shared" si="61"/>
        <v>1291.6199999999999</v>
      </c>
      <c r="AE115" s="147">
        <f t="shared" si="61"/>
        <v>1155.82</v>
      </c>
      <c r="AF115" s="147">
        <f t="shared" si="61"/>
        <v>1167.73</v>
      </c>
      <c r="AG115" s="147">
        <f t="shared" si="61"/>
        <v>1031.9299999999998</v>
      </c>
      <c r="AH115" s="147">
        <f t="shared" si="61"/>
        <v>1074.92</v>
      </c>
      <c r="AI115" s="147">
        <f t="shared" si="61"/>
        <v>939.12</v>
      </c>
    </row>
    <row r="116" spans="1:35" s="7" customFormat="1" x14ac:dyDescent="0.25">
      <c r="A116" s="11" t="s">
        <v>94</v>
      </c>
      <c r="B116" s="44"/>
      <c r="C116" s="49"/>
      <c r="D116" s="147">
        <f>D109</f>
        <v>398.82</v>
      </c>
      <c r="E116" s="145">
        <f t="shared" ref="E116:G116" si="62">E109</f>
        <v>64.819999999999993</v>
      </c>
      <c r="F116" s="145">
        <f t="shared" si="62"/>
        <v>461.6</v>
      </c>
      <c r="G116" s="146">
        <f t="shared" si="62"/>
        <v>190</v>
      </c>
      <c r="H116" s="147" t="s">
        <v>117</v>
      </c>
      <c r="I116" s="147" t="s">
        <v>117</v>
      </c>
      <c r="J116" s="147" t="s">
        <v>117</v>
      </c>
      <c r="K116" s="147" t="s">
        <v>117</v>
      </c>
      <c r="L116" s="147" t="s">
        <v>117</v>
      </c>
      <c r="M116" s="147" t="s">
        <v>117</v>
      </c>
      <c r="N116" s="147" t="s">
        <v>117</v>
      </c>
      <c r="O116" s="147" t="s">
        <v>117</v>
      </c>
      <c r="P116" s="147" t="s">
        <v>117</v>
      </c>
      <c r="Q116" s="147" t="s">
        <v>117</v>
      </c>
      <c r="R116" s="147" t="s">
        <v>117</v>
      </c>
      <c r="S116" s="147" t="s">
        <v>117</v>
      </c>
      <c r="T116" s="147" t="s">
        <v>117</v>
      </c>
      <c r="U116" s="147" t="s">
        <v>117</v>
      </c>
      <c r="V116" s="147" t="s">
        <v>117</v>
      </c>
      <c r="W116" s="147" t="s">
        <v>117</v>
      </c>
      <c r="X116" s="147" t="s">
        <v>117</v>
      </c>
      <c r="Y116" s="147" t="s">
        <v>117</v>
      </c>
      <c r="Z116" s="147" t="s">
        <v>117</v>
      </c>
      <c r="AA116" s="147" t="s">
        <v>117</v>
      </c>
      <c r="AB116" s="147" t="s">
        <v>117</v>
      </c>
      <c r="AC116" s="147" t="s">
        <v>117</v>
      </c>
      <c r="AD116" s="147" t="s">
        <v>117</v>
      </c>
      <c r="AE116" s="147" t="s">
        <v>117</v>
      </c>
      <c r="AF116" s="147" t="s">
        <v>117</v>
      </c>
      <c r="AG116" s="147" t="s">
        <v>117</v>
      </c>
      <c r="AH116" s="147" t="s">
        <v>117</v>
      </c>
      <c r="AI116" s="147" t="s">
        <v>117</v>
      </c>
    </row>
    <row r="117" spans="1:35" s="7" customFormat="1" ht="6" customHeight="1" x14ac:dyDescent="0.25">
      <c r="A117" s="12"/>
      <c r="B117" s="44"/>
      <c r="C117" s="49"/>
      <c r="D117" s="147"/>
      <c r="E117" s="145"/>
      <c r="F117" s="145"/>
      <c r="G117" s="146"/>
      <c r="H117" s="147" t="s">
        <v>117</v>
      </c>
      <c r="I117" s="147" t="s">
        <v>117</v>
      </c>
      <c r="J117" s="147" t="s">
        <v>117</v>
      </c>
      <c r="K117" s="147" t="s">
        <v>117</v>
      </c>
      <c r="L117" s="147" t="s">
        <v>117</v>
      </c>
      <c r="M117" s="147" t="s">
        <v>117</v>
      </c>
      <c r="N117" s="147" t="s">
        <v>117</v>
      </c>
      <c r="O117" s="147" t="s">
        <v>117</v>
      </c>
      <c r="P117" s="147" t="s">
        <v>117</v>
      </c>
      <c r="Q117" s="147" t="s">
        <v>117</v>
      </c>
      <c r="R117" s="147" t="s">
        <v>117</v>
      </c>
      <c r="S117" s="147" t="s">
        <v>117</v>
      </c>
      <c r="T117" s="147" t="s">
        <v>117</v>
      </c>
      <c r="U117" s="147" t="s">
        <v>117</v>
      </c>
      <c r="V117" s="147" t="s">
        <v>117</v>
      </c>
      <c r="W117" s="147" t="s">
        <v>117</v>
      </c>
      <c r="X117" s="147" t="s">
        <v>117</v>
      </c>
      <c r="Y117" s="147" t="s">
        <v>117</v>
      </c>
      <c r="Z117" s="147" t="s">
        <v>117</v>
      </c>
      <c r="AA117" s="147" t="s">
        <v>117</v>
      </c>
      <c r="AB117" s="147" t="s">
        <v>117</v>
      </c>
      <c r="AC117" s="147" t="s">
        <v>117</v>
      </c>
      <c r="AD117" s="147" t="s">
        <v>117</v>
      </c>
      <c r="AE117" s="147" t="s">
        <v>117</v>
      </c>
      <c r="AF117" s="147" t="s">
        <v>117</v>
      </c>
      <c r="AG117" s="147" t="s">
        <v>117</v>
      </c>
      <c r="AH117" s="147" t="s">
        <v>117</v>
      </c>
      <c r="AI117" s="147" t="s">
        <v>117</v>
      </c>
    </row>
    <row r="118" spans="1:35" s="7" customFormat="1" x14ac:dyDescent="0.25">
      <c r="A118" s="38" t="s">
        <v>85</v>
      </c>
      <c r="B118" s="43"/>
      <c r="C118" s="48"/>
      <c r="D118" s="147"/>
      <c r="E118" s="145"/>
      <c r="F118" s="145"/>
      <c r="G118" s="146"/>
      <c r="H118" s="147" t="s">
        <v>117</v>
      </c>
      <c r="I118" s="147" t="s">
        <v>117</v>
      </c>
      <c r="J118" s="147" t="s">
        <v>117</v>
      </c>
      <c r="K118" s="147" t="s">
        <v>117</v>
      </c>
      <c r="L118" s="147" t="s">
        <v>117</v>
      </c>
      <c r="M118" s="147" t="s">
        <v>117</v>
      </c>
      <c r="N118" s="147" t="s">
        <v>117</v>
      </c>
      <c r="O118" s="147" t="s">
        <v>117</v>
      </c>
      <c r="P118" s="147" t="s">
        <v>117</v>
      </c>
      <c r="Q118" s="147" t="s">
        <v>117</v>
      </c>
      <c r="R118" s="147" t="s">
        <v>117</v>
      </c>
      <c r="S118" s="147" t="s">
        <v>117</v>
      </c>
      <c r="T118" s="147" t="s">
        <v>117</v>
      </c>
      <c r="U118" s="147" t="s">
        <v>117</v>
      </c>
      <c r="V118" s="147" t="s">
        <v>117</v>
      </c>
      <c r="W118" s="147" t="s">
        <v>117</v>
      </c>
      <c r="X118" s="147" t="s">
        <v>117</v>
      </c>
      <c r="Y118" s="147" t="s">
        <v>117</v>
      </c>
      <c r="Z118" s="147" t="s">
        <v>117</v>
      </c>
      <c r="AA118" s="147" t="s">
        <v>117</v>
      </c>
      <c r="AB118" s="147" t="s">
        <v>117</v>
      </c>
      <c r="AC118" s="147" t="s">
        <v>117</v>
      </c>
      <c r="AD118" s="147" t="s">
        <v>117</v>
      </c>
      <c r="AE118" s="147" t="s">
        <v>117</v>
      </c>
      <c r="AF118" s="147" t="s">
        <v>117</v>
      </c>
      <c r="AG118" s="147" t="s">
        <v>117</v>
      </c>
      <c r="AH118" s="147" t="s">
        <v>117</v>
      </c>
      <c r="AI118" s="147" t="s">
        <v>117</v>
      </c>
    </row>
    <row r="119" spans="1:35" s="7" customFormat="1" x14ac:dyDescent="0.25">
      <c r="A119" s="11" t="s">
        <v>95</v>
      </c>
      <c r="B119" s="44"/>
      <c r="C119" s="49"/>
      <c r="D119" s="147"/>
      <c r="E119" s="145"/>
      <c r="F119" s="145"/>
      <c r="G119" s="146"/>
      <c r="H119" s="147">
        <f>SUM(H$92,H$94,H$95)</f>
        <v>2105.4499999999998</v>
      </c>
      <c r="I119" s="147">
        <f t="shared" ref="I119:AI119" si="63">SUM(I$92,I$94,I$95)</f>
        <v>1938.45</v>
      </c>
      <c r="J119" s="147">
        <f t="shared" si="63"/>
        <v>1991.15</v>
      </c>
      <c r="K119" s="147">
        <f t="shared" si="63"/>
        <v>1824.15</v>
      </c>
      <c r="L119" s="147">
        <f t="shared" si="63"/>
        <v>1903.8500000000001</v>
      </c>
      <c r="M119" s="147">
        <f t="shared" si="63"/>
        <v>1736.8500000000001</v>
      </c>
      <c r="N119" s="147">
        <f t="shared" si="63"/>
        <v>2038.6000000000001</v>
      </c>
      <c r="O119" s="147">
        <f t="shared" si="63"/>
        <v>1871.6000000000001</v>
      </c>
      <c r="P119" s="147">
        <f t="shared" si="63"/>
        <v>2108.88</v>
      </c>
      <c r="Q119" s="147">
        <f t="shared" si="63"/>
        <v>1941.8800000000003</v>
      </c>
      <c r="R119" s="147">
        <f t="shared" si="63"/>
        <v>1885.8799999999999</v>
      </c>
      <c r="S119" s="147">
        <f t="shared" si="63"/>
        <v>1718.8799999999999</v>
      </c>
      <c r="T119" s="147">
        <f t="shared" si="63"/>
        <v>1634.41</v>
      </c>
      <c r="U119" s="147">
        <f t="shared" si="63"/>
        <v>1467.41</v>
      </c>
      <c r="V119" s="147">
        <f t="shared" si="63"/>
        <v>2136.84</v>
      </c>
      <c r="W119" s="147">
        <f t="shared" si="63"/>
        <v>2001.04</v>
      </c>
      <c r="X119" s="147">
        <f t="shared" si="63"/>
        <v>2022.54</v>
      </c>
      <c r="Y119" s="147">
        <f t="shared" si="63"/>
        <v>1886.74</v>
      </c>
      <c r="Z119" s="147">
        <f t="shared" si="63"/>
        <v>1935.24</v>
      </c>
      <c r="AA119" s="147">
        <f t="shared" si="63"/>
        <v>1799.44</v>
      </c>
      <c r="AB119" s="147">
        <f t="shared" si="63"/>
        <v>2069.9900000000002</v>
      </c>
      <c r="AC119" s="147">
        <f t="shared" si="63"/>
        <v>1934.19</v>
      </c>
      <c r="AD119" s="147">
        <f t="shared" si="63"/>
        <v>2140.2700000000004</v>
      </c>
      <c r="AE119" s="147">
        <f t="shared" si="63"/>
        <v>2004.4700000000003</v>
      </c>
      <c r="AF119" s="147">
        <f t="shared" si="63"/>
        <v>1917.2699999999998</v>
      </c>
      <c r="AG119" s="147">
        <f t="shared" si="63"/>
        <v>1781.4699999999998</v>
      </c>
      <c r="AH119" s="147">
        <f t="shared" si="63"/>
        <v>1665.8</v>
      </c>
      <c r="AI119" s="147">
        <f t="shared" si="63"/>
        <v>1530</v>
      </c>
    </row>
    <row r="120" spans="1:35" s="7" customFormat="1" x14ac:dyDescent="0.25">
      <c r="A120" s="11" t="s">
        <v>96</v>
      </c>
      <c r="B120" s="44"/>
      <c r="C120" s="49"/>
      <c r="D120" s="147"/>
      <c r="E120" s="145"/>
      <c r="F120" s="145"/>
      <c r="G120" s="146"/>
      <c r="H120" s="147">
        <f>SUM(H$91,H$94,H$96)</f>
        <v>1999.5600000000002</v>
      </c>
      <c r="I120" s="147">
        <f t="shared" ref="I120:AI120" si="64">SUM(I$91,I$94,I$96)</f>
        <v>1832.5600000000002</v>
      </c>
      <c r="J120" s="147">
        <f t="shared" si="64"/>
        <v>1891.61</v>
      </c>
      <c r="K120" s="147">
        <f t="shared" si="64"/>
        <v>1724.61</v>
      </c>
      <c r="L120" s="147">
        <f t="shared" si="64"/>
        <v>1809.16</v>
      </c>
      <c r="M120" s="147">
        <f t="shared" si="64"/>
        <v>1642.16</v>
      </c>
      <c r="N120" s="147">
        <f t="shared" si="64"/>
        <v>1936.42</v>
      </c>
      <c r="O120" s="147">
        <f t="shared" si="64"/>
        <v>1769.42</v>
      </c>
      <c r="P120" s="147">
        <f t="shared" si="64"/>
        <v>2002.8</v>
      </c>
      <c r="Q120" s="147">
        <f t="shared" si="64"/>
        <v>1835.8</v>
      </c>
      <c r="R120" s="147">
        <f t="shared" si="64"/>
        <v>1792.19</v>
      </c>
      <c r="S120" s="147">
        <f t="shared" si="64"/>
        <v>1625.19</v>
      </c>
      <c r="T120" s="147">
        <f t="shared" si="64"/>
        <v>1634.41</v>
      </c>
      <c r="U120" s="147">
        <f t="shared" si="64"/>
        <v>1467.41</v>
      </c>
      <c r="V120" s="147">
        <f t="shared" si="64"/>
        <v>2030.95</v>
      </c>
      <c r="W120" s="147">
        <f t="shared" si="64"/>
        <v>1895.15</v>
      </c>
      <c r="X120" s="147">
        <f t="shared" si="64"/>
        <v>1922.9999999999998</v>
      </c>
      <c r="Y120" s="147">
        <f t="shared" si="64"/>
        <v>1787.1999999999998</v>
      </c>
      <c r="Z120" s="147">
        <f t="shared" si="64"/>
        <v>1840.55</v>
      </c>
      <c r="AA120" s="147">
        <f t="shared" si="64"/>
        <v>1704.75</v>
      </c>
      <c r="AB120" s="147">
        <f t="shared" si="64"/>
        <v>1967.81</v>
      </c>
      <c r="AC120" s="147">
        <f t="shared" si="64"/>
        <v>1832.01</v>
      </c>
      <c r="AD120" s="147">
        <f t="shared" si="64"/>
        <v>2034.1899999999998</v>
      </c>
      <c r="AE120" s="147">
        <f t="shared" si="64"/>
        <v>1898.3899999999999</v>
      </c>
      <c r="AF120" s="147">
        <f t="shared" si="64"/>
        <v>1823.58</v>
      </c>
      <c r="AG120" s="147">
        <f t="shared" si="64"/>
        <v>1687.78</v>
      </c>
      <c r="AH120" s="147">
        <f t="shared" si="64"/>
        <v>1665.8</v>
      </c>
      <c r="AI120" s="147">
        <f t="shared" si="64"/>
        <v>1530</v>
      </c>
    </row>
    <row r="121" spans="1:35" s="7" customFormat="1" x14ac:dyDescent="0.25">
      <c r="A121" s="11" t="s">
        <v>97</v>
      </c>
      <c r="B121" s="44"/>
      <c r="C121" s="49"/>
      <c r="D121" s="147"/>
      <c r="E121" s="145"/>
      <c r="F121" s="145"/>
      <c r="G121" s="146"/>
      <c r="H121" s="147">
        <f>SUM(H$94,H$95:H$96)</f>
        <v>1140.06</v>
      </c>
      <c r="I121" s="147">
        <f t="shared" ref="I121:AI121" si="65">SUM(I$94,I$95:I$96)</f>
        <v>806.06</v>
      </c>
      <c r="J121" s="147">
        <f t="shared" si="65"/>
        <v>1095.6099999999999</v>
      </c>
      <c r="K121" s="147">
        <f t="shared" si="65"/>
        <v>761.6099999999999</v>
      </c>
      <c r="L121" s="147">
        <f t="shared" si="65"/>
        <v>1061.6600000000001</v>
      </c>
      <c r="M121" s="147">
        <f t="shared" si="65"/>
        <v>727.66</v>
      </c>
      <c r="N121" s="147">
        <f t="shared" si="65"/>
        <v>1114.06</v>
      </c>
      <c r="O121" s="147">
        <f t="shared" si="65"/>
        <v>780.06</v>
      </c>
      <c r="P121" s="147">
        <f t="shared" si="65"/>
        <v>1141.3900000000001</v>
      </c>
      <c r="Q121" s="147">
        <f t="shared" si="65"/>
        <v>807.39</v>
      </c>
      <c r="R121" s="147">
        <f t="shared" si="65"/>
        <v>1054.67</v>
      </c>
      <c r="S121" s="147">
        <f t="shared" si="65"/>
        <v>720.67</v>
      </c>
      <c r="T121" s="147">
        <f t="shared" si="65"/>
        <v>989.69999999999993</v>
      </c>
      <c r="U121" s="147">
        <f t="shared" si="65"/>
        <v>655.69999999999993</v>
      </c>
      <c r="V121" s="147">
        <f t="shared" si="65"/>
        <v>1202.8399999999999</v>
      </c>
      <c r="W121" s="147">
        <f t="shared" si="65"/>
        <v>931.24</v>
      </c>
      <c r="X121" s="147">
        <f t="shared" si="65"/>
        <v>1158.3899999999999</v>
      </c>
      <c r="Y121" s="147">
        <f t="shared" si="65"/>
        <v>886.79</v>
      </c>
      <c r="Z121" s="147">
        <f t="shared" si="65"/>
        <v>1124.44</v>
      </c>
      <c r="AA121" s="147">
        <f t="shared" si="65"/>
        <v>852.84</v>
      </c>
      <c r="AB121" s="147">
        <f t="shared" si="65"/>
        <v>1176.8399999999999</v>
      </c>
      <c r="AC121" s="147">
        <f t="shared" si="65"/>
        <v>905.24</v>
      </c>
      <c r="AD121" s="147">
        <f t="shared" si="65"/>
        <v>1204.17</v>
      </c>
      <c r="AE121" s="147">
        <f t="shared" si="65"/>
        <v>932.57</v>
      </c>
      <c r="AF121" s="147">
        <f t="shared" si="65"/>
        <v>1117.45</v>
      </c>
      <c r="AG121" s="147">
        <f t="shared" si="65"/>
        <v>845.85</v>
      </c>
      <c r="AH121" s="147">
        <f t="shared" si="65"/>
        <v>1052.48</v>
      </c>
      <c r="AI121" s="147">
        <f t="shared" si="65"/>
        <v>780.88</v>
      </c>
    </row>
    <row r="122" spans="1:35" s="7" customFormat="1" ht="6" customHeight="1" x14ac:dyDescent="0.25">
      <c r="A122" s="12"/>
      <c r="B122" s="44"/>
      <c r="C122" s="49"/>
      <c r="D122" s="147"/>
      <c r="E122" s="145"/>
      <c r="F122" s="145"/>
      <c r="G122" s="146"/>
      <c r="H122" s="147" t="s">
        <v>117</v>
      </c>
      <c r="I122" s="147" t="s">
        <v>117</v>
      </c>
      <c r="J122" s="147" t="s">
        <v>117</v>
      </c>
      <c r="K122" s="147" t="s">
        <v>117</v>
      </c>
      <c r="L122" s="147" t="s">
        <v>117</v>
      </c>
      <c r="M122" s="147" t="s">
        <v>117</v>
      </c>
      <c r="N122" s="147" t="s">
        <v>117</v>
      </c>
      <c r="O122" s="147" t="s">
        <v>117</v>
      </c>
      <c r="P122" s="147" t="s">
        <v>117</v>
      </c>
      <c r="Q122" s="147" t="s">
        <v>117</v>
      </c>
      <c r="R122" s="147" t="s">
        <v>117</v>
      </c>
      <c r="S122" s="147" t="s">
        <v>117</v>
      </c>
      <c r="T122" s="147" t="s">
        <v>117</v>
      </c>
      <c r="U122" s="147" t="s">
        <v>117</v>
      </c>
      <c r="V122" s="147" t="s">
        <v>117</v>
      </c>
      <c r="W122" s="147" t="s">
        <v>117</v>
      </c>
      <c r="X122" s="147" t="s">
        <v>117</v>
      </c>
      <c r="Y122" s="147" t="s">
        <v>117</v>
      </c>
      <c r="Z122" s="147" t="s">
        <v>117</v>
      </c>
      <c r="AA122" s="147" t="s">
        <v>117</v>
      </c>
      <c r="AB122" s="147" t="s">
        <v>117</v>
      </c>
      <c r="AC122" s="147" t="s">
        <v>117</v>
      </c>
      <c r="AD122" s="147" t="s">
        <v>117</v>
      </c>
      <c r="AE122" s="147" t="s">
        <v>117</v>
      </c>
      <c r="AF122" s="147" t="s">
        <v>117</v>
      </c>
      <c r="AG122" s="147" t="s">
        <v>117</v>
      </c>
      <c r="AH122" s="147" t="s">
        <v>117</v>
      </c>
      <c r="AI122" s="147" t="s">
        <v>117</v>
      </c>
    </row>
    <row r="123" spans="1:35" s="7" customFormat="1" x14ac:dyDescent="0.25">
      <c r="A123" s="38" t="s">
        <v>84</v>
      </c>
      <c r="B123" s="43"/>
      <c r="C123" s="48"/>
      <c r="D123" s="147"/>
      <c r="E123" s="145"/>
      <c r="F123" s="145"/>
      <c r="G123" s="146"/>
      <c r="H123" s="147" t="s">
        <v>117</v>
      </c>
      <c r="I123" s="147" t="s">
        <v>117</v>
      </c>
      <c r="J123" s="147" t="s">
        <v>117</v>
      </c>
      <c r="K123" s="147" t="s">
        <v>117</v>
      </c>
      <c r="L123" s="147" t="s">
        <v>117</v>
      </c>
      <c r="M123" s="147" t="s">
        <v>117</v>
      </c>
      <c r="N123" s="147" t="s">
        <v>117</v>
      </c>
      <c r="O123" s="147" t="s">
        <v>117</v>
      </c>
      <c r="P123" s="147" t="s">
        <v>117</v>
      </c>
      <c r="Q123" s="147" t="s">
        <v>117</v>
      </c>
      <c r="R123" s="147" t="s">
        <v>117</v>
      </c>
      <c r="S123" s="147" t="s">
        <v>117</v>
      </c>
      <c r="T123" s="147" t="s">
        <v>117</v>
      </c>
      <c r="U123" s="147" t="s">
        <v>117</v>
      </c>
      <c r="V123" s="147" t="s">
        <v>117</v>
      </c>
      <c r="W123" s="147" t="s">
        <v>117</v>
      </c>
      <c r="X123" s="147" t="s">
        <v>117</v>
      </c>
      <c r="Y123" s="147" t="s">
        <v>117</v>
      </c>
      <c r="Z123" s="147" t="s">
        <v>117</v>
      </c>
      <c r="AA123" s="147" t="s">
        <v>117</v>
      </c>
      <c r="AB123" s="147" t="s">
        <v>117</v>
      </c>
      <c r="AC123" s="147" t="s">
        <v>117</v>
      </c>
      <c r="AD123" s="147" t="s">
        <v>117</v>
      </c>
      <c r="AE123" s="147" t="s">
        <v>117</v>
      </c>
      <c r="AF123" s="147" t="s">
        <v>117</v>
      </c>
      <c r="AG123" s="147" t="s">
        <v>117</v>
      </c>
      <c r="AH123" s="147" t="s">
        <v>117</v>
      </c>
      <c r="AI123" s="147" t="s">
        <v>117</v>
      </c>
    </row>
    <row r="124" spans="1:35" s="7" customFormat="1" x14ac:dyDescent="0.25">
      <c r="A124" s="11" t="s">
        <v>98</v>
      </c>
      <c r="C124" s="10"/>
      <c r="D124" s="147"/>
      <c r="E124" s="145"/>
      <c r="F124" s="145"/>
      <c r="G124" s="146"/>
      <c r="H124" s="147">
        <f>SUM(H$92,H$95:H$96)</f>
        <v>1563.6200000000001</v>
      </c>
      <c r="I124" s="147">
        <f t="shared" ref="I124:AI124" si="66">SUM(I$92,I$95:I$96)</f>
        <v>1229.6200000000001</v>
      </c>
      <c r="J124" s="147">
        <f t="shared" si="66"/>
        <v>1493.7700000000002</v>
      </c>
      <c r="K124" s="147">
        <f t="shared" si="66"/>
        <v>1159.7700000000002</v>
      </c>
      <c r="L124" s="147">
        <f t="shared" si="66"/>
        <v>1440.42</v>
      </c>
      <c r="M124" s="147">
        <f t="shared" si="66"/>
        <v>1106.42</v>
      </c>
      <c r="N124" s="147">
        <f t="shared" si="66"/>
        <v>1522.7700000000002</v>
      </c>
      <c r="O124" s="147">
        <f t="shared" si="66"/>
        <v>1188.7700000000002</v>
      </c>
      <c r="P124" s="147">
        <f t="shared" si="66"/>
        <v>1565.7200000000003</v>
      </c>
      <c r="Q124" s="147">
        <f t="shared" si="66"/>
        <v>1231.7200000000003</v>
      </c>
      <c r="R124" s="147">
        <f t="shared" si="66"/>
        <v>1429.44</v>
      </c>
      <c r="S124" s="147">
        <f t="shared" si="66"/>
        <v>1095.44</v>
      </c>
      <c r="T124" s="147">
        <f t="shared" si="66"/>
        <v>1242.94</v>
      </c>
      <c r="U124" s="147">
        <f t="shared" si="66"/>
        <v>908.93999999999994</v>
      </c>
      <c r="V124" s="147">
        <f t="shared" si="66"/>
        <v>1626.3999999999999</v>
      </c>
      <c r="W124" s="147">
        <f t="shared" si="66"/>
        <v>1354.8</v>
      </c>
      <c r="X124" s="147">
        <f t="shared" si="66"/>
        <v>1556.55</v>
      </c>
      <c r="Y124" s="147">
        <f t="shared" si="66"/>
        <v>1284.95</v>
      </c>
      <c r="Z124" s="147">
        <f t="shared" si="66"/>
        <v>1503.1999999999998</v>
      </c>
      <c r="AA124" s="147">
        <f t="shared" si="66"/>
        <v>1231.5999999999999</v>
      </c>
      <c r="AB124" s="147">
        <f t="shared" si="66"/>
        <v>1585.55</v>
      </c>
      <c r="AC124" s="147">
        <f t="shared" si="66"/>
        <v>1313.95</v>
      </c>
      <c r="AD124" s="147">
        <f t="shared" si="66"/>
        <v>1628.5</v>
      </c>
      <c r="AE124" s="147">
        <f t="shared" si="66"/>
        <v>1356.9</v>
      </c>
      <c r="AF124" s="147">
        <f t="shared" si="66"/>
        <v>1492.2199999999998</v>
      </c>
      <c r="AG124" s="147">
        <f t="shared" si="66"/>
        <v>1220.6199999999999</v>
      </c>
      <c r="AH124" s="147">
        <f t="shared" si="66"/>
        <v>1305.72</v>
      </c>
      <c r="AI124" s="147">
        <f t="shared" si="66"/>
        <v>1034.1199999999999</v>
      </c>
    </row>
    <row r="125" spans="1:35" s="7" customFormat="1" x14ac:dyDescent="0.25">
      <c r="A125" s="11" t="s">
        <v>99</v>
      </c>
      <c r="C125" s="10"/>
      <c r="D125" s="147"/>
      <c r="E125" s="145"/>
      <c r="F125" s="145"/>
      <c r="G125" s="146"/>
      <c r="H125" s="147">
        <f>SUM(H$91,H$96*2)</f>
        <v>1457.73</v>
      </c>
      <c r="I125" s="147">
        <f t="shared" ref="I125:AI125" si="67">SUM(I$91,I$96*2)</f>
        <v>1123.73</v>
      </c>
      <c r="J125" s="147">
        <f t="shared" si="67"/>
        <v>1394.23</v>
      </c>
      <c r="K125" s="147">
        <f t="shared" si="67"/>
        <v>1060.23</v>
      </c>
      <c r="L125" s="147">
        <f t="shared" si="67"/>
        <v>1345.73</v>
      </c>
      <c r="M125" s="147">
        <f t="shared" si="67"/>
        <v>1011.73</v>
      </c>
      <c r="N125" s="147">
        <f t="shared" si="67"/>
        <v>1420.59</v>
      </c>
      <c r="O125" s="147">
        <f t="shared" si="67"/>
        <v>1086.5899999999999</v>
      </c>
      <c r="P125" s="147">
        <f t="shared" si="67"/>
        <v>1459.6399999999999</v>
      </c>
      <c r="Q125" s="147">
        <f t="shared" si="67"/>
        <v>1125.6399999999999</v>
      </c>
      <c r="R125" s="147">
        <f t="shared" si="67"/>
        <v>1335.75</v>
      </c>
      <c r="S125" s="147">
        <f t="shared" si="67"/>
        <v>1001.75</v>
      </c>
      <c r="T125" s="147">
        <f t="shared" si="67"/>
        <v>1242.94</v>
      </c>
      <c r="U125" s="147">
        <f t="shared" si="67"/>
        <v>908.94</v>
      </c>
      <c r="V125" s="147">
        <f t="shared" si="67"/>
        <v>1520.5100000000002</v>
      </c>
      <c r="W125" s="147">
        <f t="shared" si="67"/>
        <v>1248.9100000000001</v>
      </c>
      <c r="X125" s="147">
        <f t="shared" si="67"/>
        <v>1457.01</v>
      </c>
      <c r="Y125" s="147">
        <f t="shared" si="67"/>
        <v>1185.4099999999999</v>
      </c>
      <c r="Z125" s="147">
        <f t="shared" si="67"/>
        <v>1408.51</v>
      </c>
      <c r="AA125" s="147">
        <f t="shared" si="67"/>
        <v>1136.9099999999999</v>
      </c>
      <c r="AB125" s="147">
        <f t="shared" si="67"/>
        <v>1483.37</v>
      </c>
      <c r="AC125" s="147">
        <f t="shared" si="67"/>
        <v>1211.77</v>
      </c>
      <c r="AD125" s="147">
        <f t="shared" si="67"/>
        <v>1522.42</v>
      </c>
      <c r="AE125" s="147">
        <f t="shared" si="67"/>
        <v>1250.82</v>
      </c>
      <c r="AF125" s="147">
        <f t="shared" si="67"/>
        <v>1398.53</v>
      </c>
      <c r="AG125" s="147">
        <f t="shared" si="67"/>
        <v>1126.9299999999998</v>
      </c>
      <c r="AH125" s="147">
        <f t="shared" si="67"/>
        <v>1305.72</v>
      </c>
      <c r="AI125" s="147">
        <f t="shared" si="67"/>
        <v>1034.1199999999999</v>
      </c>
    </row>
    <row r="126" spans="1:35" s="7" customFormat="1" x14ac:dyDescent="0.25">
      <c r="A126" s="11" t="s">
        <v>100</v>
      </c>
      <c r="C126" s="10"/>
      <c r="D126" s="147">
        <f>SUM(D$95,D$96*2)</f>
        <v>598.23</v>
      </c>
      <c r="E126" s="145">
        <f t="shared" ref="E126:G126" si="68">SUM(E$95,E$96*2)</f>
        <v>97.22999999999999</v>
      </c>
      <c r="F126" s="145">
        <f t="shared" si="68"/>
        <v>692.40000000000009</v>
      </c>
      <c r="G126" s="146">
        <f t="shared" si="68"/>
        <v>285</v>
      </c>
      <c r="H126" s="147" t="s">
        <v>117</v>
      </c>
      <c r="I126" s="147" t="s">
        <v>117</v>
      </c>
      <c r="J126" s="147" t="s">
        <v>117</v>
      </c>
      <c r="K126" s="147" t="s">
        <v>117</v>
      </c>
      <c r="L126" s="147" t="s">
        <v>117</v>
      </c>
      <c r="M126" s="147" t="s">
        <v>117</v>
      </c>
      <c r="N126" s="147" t="s">
        <v>117</v>
      </c>
      <c r="O126" s="147" t="s">
        <v>117</v>
      </c>
      <c r="P126" s="147" t="s">
        <v>117</v>
      </c>
      <c r="Q126" s="147" t="s">
        <v>117</v>
      </c>
      <c r="R126" s="147" t="s">
        <v>117</v>
      </c>
      <c r="S126" s="147" t="s">
        <v>117</v>
      </c>
      <c r="T126" s="147" t="s">
        <v>117</v>
      </c>
      <c r="U126" s="147" t="s">
        <v>117</v>
      </c>
      <c r="V126" s="147" t="s">
        <v>117</v>
      </c>
      <c r="W126" s="147" t="s">
        <v>117</v>
      </c>
      <c r="X126" s="147" t="s">
        <v>117</v>
      </c>
      <c r="Y126" s="147" t="s">
        <v>117</v>
      </c>
      <c r="Z126" s="147" t="s">
        <v>117</v>
      </c>
      <c r="AA126" s="147" t="s">
        <v>117</v>
      </c>
      <c r="AB126" s="147" t="s">
        <v>117</v>
      </c>
      <c r="AC126" s="147" t="s">
        <v>117</v>
      </c>
      <c r="AD126" s="147" t="s">
        <v>117</v>
      </c>
      <c r="AE126" s="147" t="s">
        <v>117</v>
      </c>
      <c r="AF126" s="147" t="s">
        <v>117</v>
      </c>
      <c r="AG126" s="147" t="s">
        <v>117</v>
      </c>
      <c r="AH126" s="147" t="s">
        <v>117</v>
      </c>
      <c r="AI126" s="147" t="s">
        <v>117</v>
      </c>
    </row>
    <row r="127" spans="1:35" s="7" customFormat="1" ht="13.8" thickBot="1" x14ac:dyDescent="0.3">
      <c r="A127" s="13" t="s">
        <v>101</v>
      </c>
      <c r="B127" s="45"/>
      <c r="C127" s="29"/>
      <c r="D127" s="150"/>
      <c r="E127" s="148"/>
      <c r="F127" s="148"/>
      <c r="G127" s="149"/>
      <c r="H127" s="150">
        <f>SUM(H$91,H$93,H$96)</f>
        <v>2423.12</v>
      </c>
      <c r="I127" s="150">
        <f t="shared" ref="I127:AI127" si="69">SUM(I$91,I$93,I$96)</f>
        <v>2256.12</v>
      </c>
      <c r="J127" s="150">
        <f t="shared" si="69"/>
        <v>2289.77</v>
      </c>
      <c r="K127" s="150">
        <f t="shared" si="69"/>
        <v>2122.77</v>
      </c>
      <c r="L127" s="150">
        <f t="shared" si="69"/>
        <v>2187.9199999999996</v>
      </c>
      <c r="M127" s="150">
        <f t="shared" si="69"/>
        <v>2020.9199999999998</v>
      </c>
      <c r="N127" s="150">
        <f t="shared" si="69"/>
        <v>2345.13</v>
      </c>
      <c r="O127" s="150">
        <f t="shared" si="69"/>
        <v>2178.13</v>
      </c>
      <c r="P127" s="150">
        <f t="shared" si="69"/>
        <v>2427.13</v>
      </c>
      <c r="Q127" s="150">
        <f t="shared" si="69"/>
        <v>2260.13</v>
      </c>
      <c r="R127" s="150">
        <f t="shared" si="69"/>
        <v>2166.9599999999996</v>
      </c>
      <c r="S127" s="150">
        <f t="shared" si="69"/>
        <v>1999.9599999999998</v>
      </c>
      <c r="T127" s="150">
        <f t="shared" si="69"/>
        <v>1972.0600000000002</v>
      </c>
      <c r="U127" s="150">
        <f t="shared" si="69"/>
        <v>1805.0600000000002</v>
      </c>
      <c r="V127" s="150">
        <f t="shared" si="69"/>
        <v>2454.5100000000002</v>
      </c>
      <c r="W127" s="150">
        <f t="shared" si="69"/>
        <v>2318.71</v>
      </c>
      <c r="X127" s="150">
        <f t="shared" si="69"/>
        <v>2321.1600000000003</v>
      </c>
      <c r="Y127" s="150">
        <f t="shared" si="69"/>
        <v>2185.36</v>
      </c>
      <c r="Z127" s="150">
        <f t="shared" si="69"/>
        <v>2219.31</v>
      </c>
      <c r="AA127" s="150">
        <f t="shared" si="69"/>
        <v>2083.5099999999998</v>
      </c>
      <c r="AB127" s="150">
        <f t="shared" si="69"/>
        <v>2376.5200000000004</v>
      </c>
      <c r="AC127" s="150">
        <f t="shared" si="69"/>
        <v>2240.7200000000003</v>
      </c>
      <c r="AD127" s="150">
        <f t="shared" si="69"/>
        <v>2458.5200000000004</v>
      </c>
      <c r="AE127" s="150">
        <f t="shared" si="69"/>
        <v>2322.7200000000003</v>
      </c>
      <c r="AF127" s="150">
        <f t="shared" si="69"/>
        <v>2198.35</v>
      </c>
      <c r="AG127" s="150">
        <f t="shared" si="69"/>
        <v>2062.5499999999997</v>
      </c>
      <c r="AH127" s="150">
        <f t="shared" si="69"/>
        <v>2003.45</v>
      </c>
      <c r="AI127" s="150">
        <f t="shared" si="69"/>
        <v>1867.65</v>
      </c>
    </row>
    <row r="128" spans="1:35" s="7" customFormat="1" x14ac:dyDescent="0.25"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</row>
    <row r="129" spans="1:35" ht="13.8" thickBot="1" x14ac:dyDescent="0.3"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</row>
    <row r="130" spans="1:35" ht="15.6" x14ac:dyDescent="0.3">
      <c r="A130" s="154" t="s">
        <v>133</v>
      </c>
      <c r="B130" s="40"/>
      <c r="C130" s="25"/>
      <c r="D130" s="195" t="s">
        <v>109</v>
      </c>
      <c r="E130" s="194"/>
      <c r="F130" s="195" t="s">
        <v>51</v>
      </c>
      <c r="G130" s="196"/>
      <c r="H130" s="15" t="s">
        <v>110</v>
      </c>
      <c r="I130" s="16"/>
      <c r="J130" s="16" t="s">
        <v>111</v>
      </c>
      <c r="K130" s="16"/>
      <c r="L130" s="16" t="s">
        <v>112</v>
      </c>
      <c r="M130" s="16"/>
      <c r="N130" s="16" t="s">
        <v>113</v>
      </c>
      <c r="O130" s="16"/>
      <c r="P130" s="16" t="s">
        <v>114</v>
      </c>
      <c r="Q130" s="16"/>
      <c r="R130" s="16" t="s">
        <v>115</v>
      </c>
      <c r="S130" s="16"/>
      <c r="T130" s="16" t="s">
        <v>116</v>
      </c>
      <c r="U130" s="17"/>
      <c r="V130" s="15" t="s">
        <v>102</v>
      </c>
      <c r="W130" s="16"/>
      <c r="X130" s="16" t="s">
        <v>103</v>
      </c>
      <c r="Y130" s="16"/>
      <c r="Z130" s="16" t="s">
        <v>104</v>
      </c>
      <c r="AA130" s="16"/>
      <c r="AB130" s="16" t="s">
        <v>105</v>
      </c>
      <c r="AC130" s="16"/>
      <c r="AD130" s="16" t="s">
        <v>22</v>
      </c>
      <c r="AE130" s="16"/>
      <c r="AF130" s="16" t="s">
        <v>23</v>
      </c>
      <c r="AG130" s="16"/>
      <c r="AH130" s="16" t="s">
        <v>24</v>
      </c>
      <c r="AI130" s="18"/>
    </row>
    <row r="131" spans="1:35" ht="13.8" thickBot="1" x14ac:dyDescent="0.3">
      <c r="A131" s="160" t="s">
        <v>79</v>
      </c>
      <c r="B131" s="50"/>
      <c r="C131" s="41"/>
      <c r="D131" s="116" t="s">
        <v>52</v>
      </c>
      <c r="E131" s="117" t="s">
        <v>38</v>
      </c>
      <c r="F131" s="118" t="s">
        <v>52</v>
      </c>
      <c r="G131" s="119" t="s">
        <v>38</v>
      </c>
      <c r="H131" s="120" t="s">
        <v>52</v>
      </c>
      <c r="I131" s="117" t="s">
        <v>38</v>
      </c>
      <c r="J131" s="117" t="s">
        <v>52</v>
      </c>
      <c r="K131" s="117" t="s">
        <v>38</v>
      </c>
      <c r="L131" s="117" t="s">
        <v>52</v>
      </c>
      <c r="M131" s="117" t="s">
        <v>38</v>
      </c>
      <c r="N131" s="117" t="s">
        <v>52</v>
      </c>
      <c r="O131" s="117" t="s">
        <v>38</v>
      </c>
      <c r="P131" s="117" t="s">
        <v>52</v>
      </c>
      <c r="Q131" s="117" t="s">
        <v>38</v>
      </c>
      <c r="R131" s="117" t="s">
        <v>52</v>
      </c>
      <c r="S131" s="117" t="s">
        <v>38</v>
      </c>
      <c r="T131" s="117" t="s">
        <v>52</v>
      </c>
      <c r="U131" s="121" t="s">
        <v>38</v>
      </c>
      <c r="V131" s="120" t="s">
        <v>52</v>
      </c>
      <c r="W131" s="117" t="s">
        <v>38</v>
      </c>
      <c r="X131" s="117" t="s">
        <v>52</v>
      </c>
      <c r="Y131" s="117" t="s">
        <v>38</v>
      </c>
      <c r="Z131" s="117" t="s">
        <v>52</v>
      </c>
      <c r="AA131" s="117" t="s">
        <v>38</v>
      </c>
      <c r="AB131" s="117" t="s">
        <v>52</v>
      </c>
      <c r="AC131" s="117" t="s">
        <v>38</v>
      </c>
      <c r="AD131" s="117" t="s">
        <v>52</v>
      </c>
      <c r="AE131" s="117" t="s">
        <v>38</v>
      </c>
      <c r="AF131" s="117" t="s">
        <v>52</v>
      </c>
      <c r="AG131" s="117" t="s">
        <v>38</v>
      </c>
      <c r="AH131" s="117" t="s">
        <v>52</v>
      </c>
      <c r="AI131" s="122" t="s">
        <v>38</v>
      </c>
    </row>
    <row r="132" spans="1:35" x14ac:dyDescent="0.25">
      <c r="A132" s="38" t="s">
        <v>81</v>
      </c>
      <c r="B132" s="43"/>
      <c r="C132" s="48"/>
      <c r="D132" s="155"/>
      <c r="E132" s="156"/>
      <c r="F132" s="155"/>
      <c r="G132" s="157"/>
      <c r="H132" s="155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8"/>
      <c r="V132" s="159"/>
      <c r="W132" s="156"/>
      <c r="X132" s="156"/>
      <c r="Y132" s="156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7"/>
    </row>
    <row r="133" spans="1:35" x14ac:dyDescent="0.25">
      <c r="A133" s="11" t="s">
        <v>88</v>
      </c>
      <c r="B133" s="7"/>
      <c r="C133" s="10"/>
      <c r="D133" s="144">
        <f>MIN(D$95*1.02,D$98)</f>
        <v>199.41</v>
      </c>
      <c r="E133" s="142">
        <f>MIN(E$95*1.02,E$98)</f>
        <v>32.409999999999997</v>
      </c>
      <c r="F133" s="142">
        <f>MIN(F$95*1.02,F$98)</f>
        <v>230.8</v>
      </c>
      <c r="G133" s="143">
        <f>MIN(G$95*1.02,G$98)</f>
        <v>95</v>
      </c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</row>
    <row r="134" spans="1:35" x14ac:dyDescent="0.25">
      <c r="A134" s="12"/>
      <c r="B134" s="44"/>
      <c r="C134" s="49"/>
      <c r="D134" s="53"/>
      <c r="E134" s="52"/>
      <c r="F134" s="52"/>
      <c r="G134" s="54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1:35" x14ac:dyDescent="0.25">
      <c r="A135" s="38" t="s">
        <v>26</v>
      </c>
      <c r="B135" s="43"/>
      <c r="C135" s="48"/>
      <c r="D135" s="53"/>
      <c r="E135" s="52"/>
      <c r="F135" s="52"/>
      <c r="G135" s="54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1:35" x14ac:dyDescent="0.25">
      <c r="A136" s="11" t="s">
        <v>89</v>
      </c>
      <c r="B136" s="44"/>
      <c r="C136" s="49"/>
      <c r="D136" s="53"/>
      <c r="E136" s="52"/>
      <c r="F136" s="52"/>
      <c r="G136" s="54"/>
      <c r="H136" s="147">
        <f t="shared" ref="H136:AI136" si="70">SUM(H$92*1.02,MIN(H$95*1.02,H$98))</f>
        <v>1387.5060000000001</v>
      </c>
      <c r="I136" s="147">
        <f t="shared" si="70"/>
        <v>1220.5060000000001</v>
      </c>
      <c r="J136" s="147">
        <f t="shared" si="70"/>
        <v>1316.2590000000002</v>
      </c>
      <c r="K136" s="147">
        <f t="shared" si="70"/>
        <v>1149.2590000000002</v>
      </c>
      <c r="L136" s="147">
        <f t="shared" si="70"/>
        <v>1261.8420000000001</v>
      </c>
      <c r="M136" s="147">
        <f t="shared" si="70"/>
        <v>1094.8420000000001</v>
      </c>
      <c r="N136" s="147">
        <f t="shared" si="70"/>
        <v>1345.8390000000002</v>
      </c>
      <c r="O136" s="147">
        <f t="shared" si="70"/>
        <v>1178.8390000000002</v>
      </c>
      <c r="P136" s="147">
        <f t="shared" si="70"/>
        <v>1389.6480000000001</v>
      </c>
      <c r="Q136" s="147">
        <f t="shared" si="70"/>
        <v>1222.6480000000001</v>
      </c>
      <c r="R136" s="147">
        <f t="shared" si="70"/>
        <v>1250.6424</v>
      </c>
      <c r="S136" s="147">
        <f t="shared" si="70"/>
        <v>1083.6424</v>
      </c>
      <c r="T136" s="147">
        <f t="shared" si="70"/>
        <v>1060.4123999999999</v>
      </c>
      <c r="U136" s="147">
        <f t="shared" si="70"/>
        <v>893.41239999999993</v>
      </c>
      <c r="V136" s="147">
        <f t="shared" si="70"/>
        <v>1418.896</v>
      </c>
      <c r="W136" s="147">
        <f t="shared" si="70"/>
        <v>1283.096</v>
      </c>
      <c r="X136" s="147">
        <f t="shared" si="70"/>
        <v>1347.6490000000001</v>
      </c>
      <c r="Y136" s="147">
        <f t="shared" si="70"/>
        <v>1211.8490000000002</v>
      </c>
      <c r="Z136" s="147">
        <f t="shared" si="70"/>
        <v>1293.232</v>
      </c>
      <c r="AA136" s="147">
        <f t="shared" si="70"/>
        <v>1157.432</v>
      </c>
      <c r="AB136" s="147">
        <f t="shared" si="70"/>
        <v>1377.229</v>
      </c>
      <c r="AC136" s="147">
        <f t="shared" si="70"/>
        <v>1241.4290000000001</v>
      </c>
      <c r="AD136" s="147">
        <f t="shared" si="70"/>
        <v>1421.038</v>
      </c>
      <c r="AE136" s="147">
        <f t="shared" si="70"/>
        <v>1285.2380000000001</v>
      </c>
      <c r="AF136" s="147">
        <f t="shared" si="70"/>
        <v>1282.0323999999998</v>
      </c>
      <c r="AG136" s="147">
        <f t="shared" si="70"/>
        <v>1146.2323999999999</v>
      </c>
      <c r="AH136" s="147">
        <f t="shared" si="70"/>
        <v>1091.8024</v>
      </c>
      <c r="AI136" s="147">
        <f t="shared" si="70"/>
        <v>956.00239999999997</v>
      </c>
    </row>
    <row r="137" spans="1:35" x14ac:dyDescent="0.25">
      <c r="A137" s="11" t="s">
        <v>90</v>
      </c>
      <c r="B137" s="44"/>
      <c r="C137" s="49"/>
      <c r="D137" s="53"/>
      <c r="E137" s="52"/>
      <c r="F137" s="52"/>
      <c r="G137" s="54"/>
      <c r="H137" s="147">
        <f t="shared" ref="H137:AI137" si="71">SUM(H$91*1.02,MIN(H$96*1.02,H$98))</f>
        <v>1279.4982000000002</v>
      </c>
      <c r="I137" s="147">
        <f t="shared" si="71"/>
        <v>1112.4982000000002</v>
      </c>
      <c r="J137" s="147">
        <f t="shared" si="71"/>
        <v>1214.7282</v>
      </c>
      <c r="K137" s="147">
        <f t="shared" si="71"/>
        <v>1047.7282</v>
      </c>
      <c r="L137" s="147">
        <f t="shared" si="71"/>
        <v>1165.2582</v>
      </c>
      <c r="M137" s="147">
        <f t="shared" si="71"/>
        <v>998.25819999999999</v>
      </c>
      <c r="N137" s="147">
        <f t="shared" si="71"/>
        <v>1241.6154000000001</v>
      </c>
      <c r="O137" s="147">
        <f t="shared" si="71"/>
        <v>1074.6154000000001</v>
      </c>
      <c r="P137" s="147">
        <f t="shared" si="71"/>
        <v>1281.4464</v>
      </c>
      <c r="Q137" s="147">
        <f t="shared" si="71"/>
        <v>1114.4464</v>
      </c>
      <c r="R137" s="147">
        <f t="shared" si="71"/>
        <v>1155.0786000000001</v>
      </c>
      <c r="S137" s="147">
        <f t="shared" si="71"/>
        <v>988.07859999999994</v>
      </c>
      <c r="T137" s="147">
        <f t="shared" si="71"/>
        <v>1060.4123999999999</v>
      </c>
      <c r="U137" s="147">
        <f t="shared" si="71"/>
        <v>893.41239999999993</v>
      </c>
      <c r="V137" s="147">
        <f t="shared" si="71"/>
        <v>1310.8882000000001</v>
      </c>
      <c r="W137" s="147">
        <f t="shared" si="71"/>
        <v>1175.0882000000001</v>
      </c>
      <c r="X137" s="147">
        <f t="shared" si="71"/>
        <v>1246.1181999999999</v>
      </c>
      <c r="Y137" s="147">
        <f t="shared" si="71"/>
        <v>1110.3181999999999</v>
      </c>
      <c r="Z137" s="147">
        <f t="shared" si="71"/>
        <v>1196.6482000000001</v>
      </c>
      <c r="AA137" s="147">
        <f t="shared" si="71"/>
        <v>1060.8481999999999</v>
      </c>
      <c r="AB137" s="147">
        <f t="shared" si="71"/>
        <v>1273.0054</v>
      </c>
      <c r="AC137" s="147">
        <f t="shared" si="71"/>
        <v>1137.2054000000001</v>
      </c>
      <c r="AD137" s="147">
        <f t="shared" si="71"/>
        <v>1312.8363999999999</v>
      </c>
      <c r="AE137" s="147">
        <f t="shared" si="71"/>
        <v>1177.0364</v>
      </c>
      <c r="AF137" s="147">
        <f t="shared" si="71"/>
        <v>1186.4685999999999</v>
      </c>
      <c r="AG137" s="147">
        <f t="shared" si="71"/>
        <v>1050.6686</v>
      </c>
      <c r="AH137" s="147">
        <f t="shared" si="71"/>
        <v>1091.8024</v>
      </c>
      <c r="AI137" s="147">
        <f t="shared" si="71"/>
        <v>956.00239999999997</v>
      </c>
    </row>
    <row r="138" spans="1:35" x14ac:dyDescent="0.25">
      <c r="A138" s="11" t="s">
        <v>91</v>
      </c>
      <c r="B138" s="44"/>
      <c r="C138" s="49"/>
      <c r="D138" s="147">
        <f>MIN(SUM(D$95:D$96)*1.02,D$98*2)</f>
        <v>398.82</v>
      </c>
      <c r="E138" s="145">
        <f>MIN(SUM(E$95:E$96)*1.02,E$98*2)</f>
        <v>64.819999999999993</v>
      </c>
      <c r="F138" s="145">
        <f>MIN(SUM(F$95:F$96)*1.02,F$98*2)</f>
        <v>461.6</v>
      </c>
      <c r="G138" s="146">
        <f>MIN(SUM(G$95:G$96)*1.02,G$98*2)</f>
        <v>190</v>
      </c>
      <c r="H138" s="147" t="s">
        <v>117</v>
      </c>
      <c r="I138" s="147" t="s">
        <v>117</v>
      </c>
      <c r="J138" s="147" t="s">
        <v>117</v>
      </c>
      <c r="K138" s="147" t="s">
        <v>117</v>
      </c>
      <c r="L138" s="147" t="s">
        <v>117</v>
      </c>
      <c r="M138" s="147" t="s">
        <v>117</v>
      </c>
      <c r="N138" s="147" t="s">
        <v>117</v>
      </c>
      <c r="O138" s="147" t="s">
        <v>117</v>
      </c>
      <c r="P138" s="147" t="s">
        <v>117</v>
      </c>
      <c r="Q138" s="147" t="s">
        <v>117</v>
      </c>
      <c r="R138" s="147" t="s">
        <v>117</v>
      </c>
      <c r="S138" s="147" t="s">
        <v>117</v>
      </c>
      <c r="T138" s="147" t="s">
        <v>117</v>
      </c>
      <c r="U138" s="147" t="s">
        <v>117</v>
      </c>
      <c r="V138" s="147" t="s">
        <v>117</v>
      </c>
      <c r="W138" s="147" t="s">
        <v>117</v>
      </c>
      <c r="X138" s="147" t="s">
        <v>117</v>
      </c>
      <c r="Y138" s="147" t="s">
        <v>117</v>
      </c>
      <c r="Z138" s="147" t="s">
        <v>117</v>
      </c>
      <c r="AA138" s="147" t="s">
        <v>117</v>
      </c>
      <c r="AB138" s="147" t="s">
        <v>117</v>
      </c>
      <c r="AC138" s="147" t="s">
        <v>117</v>
      </c>
      <c r="AD138" s="147" t="s">
        <v>117</v>
      </c>
      <c r="AE138" s="147" t="s">
        <v>117</v>
      </c>
      <c r="AF138" s="147" t="s">
        <v>117</v>
      </c>
      <c r="AG138" s="147" t="s">
        <v>117</v>
      </c>
      <c r="AH138" s="147" t="s">
        <v>117</v>
      </c>
      <c r="AI138" s="147" t="s">
        <v>117</v>
      </c>
    </row>
    <row r="139" spans="1:35" x14ac:dyDescent="0.25">
      <c r="A139" s="12"/>
      <c r="B139" s="44"/>
      <c r="C139" s="49"/>
      <c r="D139" s="147"/>
      <c r="E139" s="145"/>
      <c r="F139" s="145"/>
      <c r="G139" s="146"/>
      <c r="H139" s="147" t="s">
        <v>117</v>
      </c>
      <c r="I139" s="147" t="s">
        <v>117</v>
      </c>
      <c r="J139" s="147" t="s">
        <v>117</v>
      </c>
      <c r="K139" s="147" t="s">
        <v>117</v>
      </c>
      <c r="L139" s="147" t="s">
        <v>117</v>
      </c>
      <c r="M139" s="147" t="s">
        <v>117</v>
      </c>
      <c r="N139" s="147" t="s">
        <v>117</v>
      </c>
      <c r="O139" s="147" t="s">
        <v>117</v>
      </c>
      <c r="P139" s="147" t="s">
        <v>117</v>
      </c>
      <c r="Q139" s="147" t="s">
        <v>117</v>
      </c>
      <c r="R139" s="147" t="s">
        <v>117</v>
      </c>
      <c r="S139" s="147" t="s">
        <v>117</v>
      </c>
      <c r="T139" s="147" t="s">
        <v>117</v>
      </c>
      <c r="U139" s="147" t="s">
        <v>117</v>
      </c>
      <c r="V139" s="147" t="s">
        <v>117</v>
      </c>
      <c r="W139" s="147" t="s">
        <v>117</v>
      </c>
      <c r="X139" s="147" t="s">
        <v>117</v>
      </c>
      <c r="Y139" s="147" t="s">
        <v>117</v>
      </c>
      <c r="Z139" s="147" t="s">
        <v>117</v>
      </c>
      <c r="AA139" s="147" t="s">
        <v>117</v>
      </c>
      <c r="AB139" s="147" t="s">
        <v>117</v>
      </c>
      <c r="AC139" s="147" t="s">
        <v>117</v>
      </c>
      <c r="AD139" s="147" t="s">
        <v>117</v>
      </c>
      <c r="AE139" s="147" t="s">
        <v>117</v>
      </c>
      <c r="AF139" s="147" t="s">
        <v>117</v>
      </c>
      <c r="AG139" s="147" t="s">
        <v>117</v>
      </c>
      <c r="AH139" s="147" t="s">
        <v>117</v>
      </c>
      <c r="AI139" s="147" t="s">
        <v>117</v>
      </c>
    </row>
    <row r="140" spans="1:35" x14ac:dyDescent="0.25">
      <c r="A140" s="38" t="s">
        <v>83</v>
      </c>
      <c r="B140" s="43"/>
      <c r="C140" s="48"/>
      <c r="D140" s="147"/>
      <c r="E140" s="145"/>
      <c r="F140" s="145"/>
      <c r="G140" s="146"/>
      <c r="H140" s="147" t="s">
        <v>117</v>
      </c>
      <c r="I140" s="147" t="s">
        <v>117</v>
      </c>
      <c r="J140" s="147" t="s">
        <v>117</v>
      </c>
      <c r="K140" s="147" t="s">
        <v>117</v>
      </c>
      <c r="L140" s="147" t="s">
        <v>117</v>
      </c>
      <c r="M140" s="147" t="s">
        <v>117</v>
      </c>
      <c r="N140" s="147" t="s">
        <v>117</v>
      </c>
      <c r="O140" s="147" t="s">
        <v>117</v>
      </c>
      <c r="P140" s="147" t="s">
        <v>117</v>
      </c>
      <c r="Q140" s="147" t="s">
        <v>117</v>
      </c>
      <c r="R140" s="147" t="s">
        <v>117</v>
      </c>
      <c r="S140" s="147" t="s">
        <v>117</v>
      </c>
      <c r="T140" s="147" t="s">
        <v>117</v>
      </c>
      <c r="U140" s="147" t="s">
        <v>117</v>
      </c>
      <c r="V140" s="147" t="s">
        <v>117</v>
      </c>
      <c r="W140" s="147" t="s">
        <v>117</v>
      </c>
      <c r="X140" s="147" t="s">
        <v>117</v>
      </c>
      <c r="Y140" s="147" t="s">
        <v>117</v>
      </c>
      <c r="Z140" s="147" t="s">
        <v>117</v>
      </c>
      <c r="AA140" s="147" t="s">
        <v>117</v>
      </c>
      <c r="AB140" s="147" t="s">
        <v>117</v>
      </c>
      <c r="AC140" s="147" t="s">
        <v>117</v>
      </c>
      <c r="AD140" s="147" t="s">
        <v>117</v>
      </c>
      <c r="AE140" s="147" t="s">
        <v>117</v>
      </c>
      <c r="AF140" s="147" t="s">
        <v>117</v>
      </c>
      <c r="AG140" s="147" t="s">
        <v>117</v>
      </c>
      <c r="AH140" s="147" t="s">
        <v>117</v>
      </c>
      <c r="AI140" s="147" t="s">
        <v>117</v>
      </c>
    </row>
    <row r="141" spans="1:35" x14ac:dyDescent="0.25">
      <c r="A141" s="11" t="s">
        <v>92</v>
      </c>
      <c r="B141" s="44"/>
      <c r="C141" s="49"/>
      <c r="D141" s="147"/>
      <c r="E141" s="145"/>
      <c r="F141" s="145"/>
      <c r="G141" s="146"/>
      <c r="H141" s="147">
        <f t="shared" ref="H141:AI141" si="72">SUM(H$94*1.02,MIN(H$95*1.02,H$98))</f>
        <v>955.47479999999996</v>
      </c>
      <c r="I141" s="147">
        <f t="shared" si="72"/>
        <v>788.47479999999996</v>
      </c>
      <c r="J141" s="147">
        <f t="shared" si="72"/>
        <v>910.1357999999999</v>
      </c>
      <c r="K141" s="147">
        <f t="shared" si="72"/>
        <v>743.1357999999999</v>
      </c>
      <c r="L141" s="147">
        <f t="shared" si="72"/>
        <v>875.5068</v>
      </c>
      <c r="M141" s="147">
        <f t="shared" si="72"/>
        <v>708.5068</v>
      </c>
      <c r="N141" s="147">
        <f t="shared" si="72"/>
        <v>928.95479999999998</v>
      </c>
      <c r="O141" s="147">
        <f t="shared" si="72"/>
        <v>761.95479999999998</v>
      </c>
      <c r="P141" s="147">
        <f t="shared" si="72"/>
        <v>956.83140000000003</v>
      </c>
      <c r="Q141" s="147">
        <f t="shared" si="72"/>
        <v>789.83140000000003</v>
      </c>
      <c r="R141" s="147">
        <f t="shared" si="72"/>
        <v>868.37699999999995</v>
      </c>
      <c r="S141" s="147">
        <f t="shared" si="72"/>
        <v>701.37699999999995</v>
      </c>
      <c r="T141" s="147">
        <f t="shared" si="72"/>
        <v>802.10759999999993</v>
      </c>
      <c r="U141" s="147">
        <f t="shared" si="72"/>
        <v>635.10759999999993</v>
      </c>
      <c r="V141" s="147">
        <f t="shared" si="72"/>
        <v>986.86480000000006</v>
      </c>
      <c r="W141" s="147">
        <f t="shared" si="72"/>
        <v>851.06479999999999</v>
      </c>
      <c r="X141" s="147">
        <f t="shared" si="72"/>
        <v>941.52579999999989</v>
      </c>
      <c r="Y141" s="147">
        <f t="shared" si="72"/>
        <v>805.72579999999994</v>
      </c>
      <c r="Z141" s="147">
        <f t="shared" si="72"/>
        <v>906.89679999999998</v>
      </c>
      <c r="AA141" s="147">
        <f t="shared" si="72"/>
        <v>771.09680000000003</v>
      </c>
      <c r="AB141" s="147">
        <f t="shared" si="72"/>
        <v>960.34480000000008</v>
      </c>
      <c r="AC141" s="147">
        <f t="shared" si="72"/>
        <v>824.54480000000001</v>
      </c>
      <c r="AD141" s="147">
        <f t="shared" si="72"/>
        <v>988.22140000000013</v>
      </c>
      <c r="AE141" s="147">
        <f t="shared" si="72"/>
        <v>852.42140000000006</v>
      </c>
      <c r="AF141" s="147">
        <f t="shared" si="72"/>
        <v>899.76700000000005</v>
      </c>
      <c r="AG141" s="147">
        <f t="shared" si="72"/>
        <v>763.96699999999998</v>
      </c>
      <c r="AH141" s="147">
        <f t="shared" si="72"/>
        <v>833.49759999999992</v>
      </c>
      <c r="AI141" s="147">
        <f t="shared" si="72"/>
        <v>697.69759999999997</v>
      </c>
    </row>
    <row r="142" spans="1:35" x14ac:dyDescent="0.25">
      <c r="A142" s="12"/>
      <c r="B142" s="44"/>
      <c r="C142" s="49"/>
      <c r="D142" s="147"/>
      <c r="E142" s="145"/>
      <c r="F142" s="145"/>
      <c r="G142" s="146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</row>
    <row r="143" spans="1:35" x14ac:dyDescent="0.25">
      <c r="A143" s="38" t="s">
        <v>82</v>
      </c>
      <c r="B143" s="43"/>
      <c r="C143" s="48"/>
      <c r="D143" s="147"/>
      <c r="E143" s="145"/>
      <c r="F143" s="145"/>
      <c r="G143" s="146"/>
      <c r="H143" s="147" t="s">
        <v>117</v>
      </c>
      <c r="I143" s="147" t="s">
        <v>117</v>
      </c>
      <c r="J143" s="147" t="s">
        <v>117</v>
      </c>
      <c r="K143" s="147" t="s">
        <v>117</v>
      </c>
      <c r="L143" s="147" t="s">
        <v>117</v>
      </c>
      <c r="M143" s="147" t="s">
        <v>117</v>
      </c>
      <c r="N143" s="147" t="s">
        <v>117</v>
      </c>
      <c r="O143" s="147" t="s">
        <v>117</v>
      </c>
      <c r="P143" s="147" t="s">
        <v>117</v>
      </c>
      <c r="Q143" s="147" t="s">
        <v>117</v>
      </c>
      <c r="R143" s="147" t="s">
        <v>117</v>
      </c>
      <c r="S143" s="147" t="s">
        <v>117</v>
      </c>
      <c r="T143" s="147" t="s">
        <v>117</v>
      </c>
      <c r="U143" s="147" t="s">
        <v>117</v>
      </c>
      <c r="V143" s="147" t="s">
        <v>117</v>
      </c>
      <c r="W143" s="147" t="s">
        <v>117</v>
      </c>
      <c r="X143" s="147" t="s">
        <v>117</v>
      </c>
      <c r="Y143" s="147" t="s">
        <v>117</v>
      </c>
      <c r="Z143" s="147" t="s">
        <v>117</v>
      </c>
      <c r="AA143" s="147" t="s">
        <v>117</v>
      </c>
      <c r="AB143" s="147" t="s">
        <v>117</v>
      </c>
      <c r="AC143" s="147" t="s">
        <v>117</v>
      </c>
      <c r="AD143" s="147" t="s">
        <v>117</v>
      </c>
      <c r="AE143" s="147" t="s">
        <v>117</v>
      </c>
      <c r="AF143" s="147" t="s">
        <v>117</v>
      </c>
      <c r="AG143" s="147" t="s">
        <v>117</v>
      </c>
      <c r="AH143" s="147" t="s">
        <v>117</v>
      </c>
      <c r="AI143" s="147" t="s">
        <v>117</v>
      </c>
    </row>
    <row r="144" spans="1:35" x14ac:dyDescent="0.25">
      <c r="A144" s="11" t="s">
        <v>93</v>
      </c>
      <c r="B144" s="44"/>
      <c r="C144" s="49"/>
      <c r="D144" s="147"/>
      <c r="E144" s="145"/>
      <c r="F144" s="145"/>
      <c r="G144" s="146"/>
      <c r="H144" s="147">
        <f t="shared" ref="H144:AI144" si="73">SUM(H$91*1.02,MIN(H$96*1.02,H$98))</f>
        <v>1279.4982000000002</v>
      </c>
      <c r="I144" s="147">
        <f t="shared" si="73"/>
        <v>1112.4982000000002</v>
      </c>
      <c r="J144" s="147">
        <f t="shared" si="73"/>
        <v>1214.7282</v>
      </c>
      <c r="K144" s="147">
        <f t="shared" si="73"/>
        <v>1047.7282</v>
      </c>
      <c r="L144" s="147">
        <f t="shared" si="73"/>
        <v>1165.2582</v>
      </c>
      <c r="M144" s="147">
        <f t="shared" si="73"/>
        <v>998.25819999999999</v>
      </c>
      <c r="N144" s="147">
        <f t="shared" si="73"/>
        <v>1241.6154000000001</v>
      </c>
      <c r="O144" s="147">
        <f t="shared" si="73"/>
        <v>1074.6154000000001</v>
      </c>
      <c r="P144" s="147">
        <f t="shared" si="73"/>
        <v>1281.4464</v>
      </c>
      <c r="Q144" s="147">
        <f t="shared" si="73"/>
        <v>1114.4464</v>
      </c>
      <c r="R144" s="147">
        <f t="shared" si="73"/>
        <v>1155.0786000000001</v>
      </c>
      <c r="S144" s="147">
        <f t="shared" si="73"/>
        <v>988.07859999999994</v>
      </c>
      <c r="T144" s="147">
        <f t="shared" si="73"/>
        <v>1060.4123999999999</v>
      </c>
      <c r="U144" s="147">
        <f t="shared" si="73"/>
        <v>893.41239999999993</v>
      </c>
      <c r="V144" s="147">
        <f t="shared" si="73"/>
        <v>1310.8882000000001</v>
      </c>
      <c r="W144" s="147">
        <f t="shared" si="73"/>
        <v>1175.0882000000001</v>
      </c>
      <c r="X144" s="147">
        <f t="shared" si="73"/>
        <v>1246.1181999999999</v>
      </c>
      <c r="Y144" s="147">
        <f t="shared" si="73"/>
        <v>1110.3181999999999</v>
      </c>
      <c r="Z144" s="147">
        <f t="shared" si="73"/>
        <v>1196.6482000000001</v>
      </c>
      <c r="AA144" s="147">
        <f t="shared" si="73"/>
        <v>1060.8481999999999</v>
      </c>
      <c r="AB144" s="147">
        <f t="shared" si="73"/>
        <v>1273.0054</v>
      </c>
      <c r="AC144" s="147">
        <f t="shared" si="73"/>
        <v>1137.2054000000001</v>
      </c>
      <c r="AD144" s="147">
        <f t="shared" si="73"/>
        <v>1312.8363999999999</v>
      </c>
      <c r="AE144" s="147">
        <f t="shared" si="73"/>
        <v>1177.0364</v>
      </c>
      <c r="AF144" s="147">
        <f t="shared" si="73"/>
        <v>1186.4685999999999</v>
      </c>
      <c r="AG144" s="147">
        <f t="shared" si="73"/>
        <v>1050.6686</v>
      </c>
      <c r="AH144" s="147">
        <f t="shared" si="73"/>
        <v>1091.8024</v>
      </c>
      <c r="AI144" s="147">
        <f t="shared" si="73"/>
        <v>956.00239999999997</v>
      </c>
    </row>
    <row r="145" spans="1:35" x14ac:dyDescent="0.25">
      <c r="A145" s="11" t="s">
        <v>94</v>
      </c>
      <c r="B145" s="44"/>
      <c r="C145" s="49"/>
      <c r="D145" s="147">
        <f>D138</f>
        <v>398.82</v>
      </c>
      <c r="E145" s="145">
        <f t="shared" ref="E145:G145" si="74">E138</f>
        <v>64.819999999999993</v>
      </c>
      <c r="F145" s="145">
        <f t="shared" si="74"/>
        <v>461.6</v>
      </c>
      <c r="G145" s="146">
        <f t="shared" si="74"/>
        <v>190</v>
      </c>
      <c r="H145" s="147" t="s">
        <v>117</v>
      </c>
      <c r="I145" s="147" t="s">
        <v>117</v>
      </c>
      <c r="J145" s="147" t="s">
        <v>117</v>
      </c>
      <c r="K145" s="147" t="s">
        <v>117</v>
      </c>
      <c r="L145" s="147" t="s">
        <v>117</v>
      </c>
      <c r="M145" s="147" t="s">
        <v>117</v>
      </c>
      <c r="N145" s="147" t="s">
        <v>117</v>
      </c>
      <c r="O145" s="147" t="s">
        <v>117</v>
      </c>
      <c r="P145" s="147" t="s">
        <v>117</v>
      </c>
      <c r="Q145" s="147" t="s">
        <v>117</v>
      </c>
      <c r="R145" s="147" t="s">
        <v>117</v>
      </c>
      <c r="S145" s="147" t="s">
        <v>117</v>
      </c>
      <c r="T145" s="147" t="s">
        <v>117</v>
      </c>
      <c r="U145" s="147" t="s">
        <v>117</v>
      </c>
      <c r="V145" s="147" t="s">
        <v>117</v>
      </c>
      <c r="W145" s="147" t="s">
        <v>117</v>
      </c>
      <c r="X145" s="147" t="s">
        <v>117</v>
      </c>
      <c r="Y145" s="147" t="s">
        <v>117</v>
      </c>
      <c r="Z145" s="147" t="s">
        <v>117</v>
      </c>
      <c r="AA145" s="147" t="s">
        <v>117</v>
      </c>
      <c r="AB145" s="147" t="s">
        <v>117</v>
      </c>
      <c r="AC145" s="147" t="s">
        <v>117</v>
      </c>
      <c r="AD145" s="147" t="s">
        <v>117</v>
      </c>
      <c r="AE145" s="147" t="s">
        <v>117</v>
      </c>
      <c r="AF145" s="147" t="s">
        <v>117</v>
      </c>
      <c r="AG145" s="147" t="s">
        <v>117</v>
      </c>
      <c r="AH145" s="147" t="s">
        <v>117</v>
      </c>
      <c r="AI145" s="147" t="s">
        <v>117</v>
      </c>
    </row>
    <row r="146" spans="1:35" x14ac:dyDescent="0.25">
      <c r="A146" s="12"/>
      <c r="B146" s="44"/>
      <c r="C146" s="49"/>
      <c r="D146" s="147"/>
      <c r="E146" s="145"/>
      <c r="F146" s="145"/>
      <c r="G146" s="146"/>
      <c r="H146" s="147" t="s">
        <v>117</v>
      </c>
      <c r="I146" s="147" t="s">
        <v>117</v>
      </c>
      <c r="J146" s="147" t="s">
        <v>117</v>
      </c>
      <c r="K146" s="147" t="s">
        <v>117</v>
      </c>
      <c r="L146" s="147" t="s">
        <v>117</v>
      </c>
      <c r="M146" s="147" t="s">
        <v>117</v>
      </c>
      <c r="N146" s="147" t="s">
        <v>117</v>
      </c>
      <c r="O146" s="147" t="s">
        <v>117</v>
      </c>
      <c r="P146" s="147" t="s">
        <v>117</v>
      </c>
      <c r="Q146" s="147" t="s">
        <v>117</v>
      </c>
      <c r="R146" s="147" t="s">
        <v>117</v>
      </c>
      <c r="S146" s="147" t="s">
        <v>117</v>
      </c>
      <c r="T146" s="147" t="s">
        <v>117</v>
      </c>
      <c r="U146" s="147" t="s">
        <v>117</v>
      </c>
      <c r="V146" s="147" t="s">
        <v>117</v>
      </c>
      <c r="W146" s="147" t="s">
        <v>117</v>
      </c>
      <c r="X146" s="147" t="s">
        <v>117</v>
      </c>
      <c r="Y146" s="147" t="s">
        <v>117</v>
      </c>
      <c r="Z146" s="147" t="s">
        <v>117</v>
      </c>
      <c r="AA146" s="147" t="s">
        <v>117</v>
      </c>
      <c r="AB146" s="147" t="s">
        <v>117</v>
      </c>
      <c r="AC146" s="147" t="s">
        <v>117</v>
      </c>
      <c r="AD146" s="147" t="s">
        <v>117</v>
      </c>
      <c r="AE146" s="147" t="s">
        <v>117</v>
      </c>
      <c r="AF146" s="147" t="s">
        <v>117</v>
      </c>
      <c r="AG146" s="147" t="s">
        <v>117</v>
      </c>
      <c r="AH146" s="147" t="s">
        <v>117</v>
      </c>
      <c r="AI146" s="147" t="s">
        <v>117</v>
      </c>
    </row>
    <row r="147" spans="1:35" x14ac:dyDescent="0.25">
      <c r="A147" s="38" t="s">
        <v>85</v>
      </c>
      <c r="B147" s="43"/>
      <c r="C147" s="48"/>
      <c r="D147" s="147"/>
      <c r="E147" s="145"/>
      <c r="F147" s="145"/>
      <c r="G147" s="146"/>
      <c r="H147" s="147" t="s">
        <v>117</v>
      </c>
      <c r="I147" s="147" t="s">
        <v>117</v>
      </c>
      <c r="J147" s="147" t="s">
        <v>117</v>
      </c>
      <c r="K147" s="147" t="s">
        <v>117</v>
      </c>
      <c r="L147" s="147" t="s">
        <v>117</v>
      </c>
      <c r="M147" s="147" t="s">
        <v>117</v>
      </c>
      <c r="N147" s="147" t="s">
        <v>117</v>
      </c>
      <c r="O147" s="147" t="s">
        <v>117</v>
      </c>
      <c r="P147" s="147" t="s">
        <v>117</v>
      </c>
      <c r="Q147" s="147" t="s">
        <v>117</v>
      </c>
      <c r="R147" s="147" t="s">
        <v>117</v>
      </c>
      <c r="S147" s="147" t="s">
        <v>117</v>
      </c>
      <c r="T147" s="147" t="s">
        <v>117</v>
      </c>
      <c r="U147" s="147" t="s">
        <v>117</v>
      </c>
      <c r="V147" s="147" t="s">
        <v>117</v>
      </c>
      <c r="W147" s="147" t="s">
        <v>117</v>
      </c>
      <c r="X147" s="147" t="s">
        <v>117</v>
      </c>
      <c r="Y147" s="147" t="s">
        <v>117</v>
      </c>
      <c r="Z147" s="147" t="s">
        <v>117</v>
      </c>
      <c r="AA147" s="147" t="s">
        <v>117</v>
      </c>
      <c r="AB147" s="147" t="s">
        <v>117</v>
      </c>
      <c r="AC147" s="147" t="s">
        <v>117</v>
      </c>
      <c r="AD147" s="147" t="s">
        <v>117</v>
      </c>
      <c r="AE147" s="147" t="s">
        <v>117</v>
      </c>
      <c r="AF147" s="147" t="s">
        <v>117</v>
      </c>
      <c r="AG147" s="147" t="s">
        <v>117</v>
      </c>
      <c r="AH147" s="147" t="s">
        <v>117</v>
      </c>
      <c r="AI147" s="147" t="s">
        <v>117</v>
      </c>
    </row>
    <row r="148" spans="1:35" x14ac:dyDescent="0.25">
      <c r="A148" s="11" t="s">
        <v>95</v>
      </c>
      <c r="B148" s="44"/>
      <c r="C148" s="49"/>
      <c r="D148" s="147"/>
      <c r="E148" s="145"/>
      <c r="F148" s="145"/>
      <c r="G148" s="146"/>
      <c r="H148" s="147">
        <f t="shared" ref="H148:AI148" si="75">SUM(SUM(H$92,H$94)*1.02,MIN(H$95*1.02,H$98))</f>
        <v>2143.5708</v>
      </c>
      <c r="I148" s="147">
        <f t="shared" si="75"/>
        <v>1976.5708000000002</v>
      </c>
      <c r="J148" s="147">
        <f t="shared" si="75"/>
        <v>2026.9848000000002</v>
      </c>
      <c r="K148" s="147">
        <f t="shared" si="75"/>
        <v>1859.9848000000002</v>
      </c>
      <c r="L148" s="147">
        <f t="shared" si="75"/>
        <v>1937.9388000000001</v>
      </c>
      <c r="M148" s="147">
        <f t="shared" si="75"/>
        <v>1770.9388000000001</v>
      </c>
      <c r="N148" s="147">
        <f t="shared" si="75"/>
        <v>2075.3838000000001</v>
      </c>
      <c r="O148" s="147">
        <f t="shared" si="75"/>
        <v>1908.3838000000001</v>
      </c>
      <c r="P148" s="147">
        <f t="shared" si="75"/>
        <v>2147.0694000000003</v>
      </c>
      <c r="Q148" s="147">
        <f t="shared" si="75"/>
        <v>1980.0694000000003</v>
      </c>
      <c r="R148" s="147">
        <f t="shared" si="75"/>
        <v>1919.6093999999998</v>
      </c>
      <c r="S148" s="147">
        <f t="shared" si="75"/>
        <v>1752.6093999999998</v>
      </c>
      <c r="T148" s="147">
        <f t="shared" si="75"/>
        <v>1663.1100000000001</v>
      </c>
      <c r="U148" s="147">
        <f t="shared" si="75"/>
        <v>1496.1100000000001</v>
      </c>
      <c r="V148" s="147">
        <f t="shared" si="75"/>
        <v>2174.9608000000003</v>
      </c>
      <c r="W148" s="147">
        <f t="shared" si="75"/>
        <v>2039.1608000000001</v>
      </c>
      <c r="X148" s="147">
        <f t="shared" si="75"/>
        <v>2058.3748000000001</v>
      </c>
      <c r="Y148" s="147">
        <f t="shared" si="75"/>
        <v>1922.5748000000001</v>
      </c>
      <c r="Z148" s="147">
        <f t="shared" si="75"/>
        <v>1969.3288</v>
      </c>
      <c r="AA148" s="147">
        <f t="shared" si="75"/>
        <v>1833.5288</v>
      </c>
      <c r="AB148" s="147">
        <f t="shared" si="75"/>
        <v>2106.7737999999999</v>
      </c>
      <c r="AC148" s="147">
        <f t="shared" si="75"/>
        <v>1970.9738</v>
      </c>
      <c r="AD148" s="147">
        <f t="shared" si="75"/>
        <v>2178.4594000000002</v>
      </c>
      <c r="AE148" s="147">
        <f t="shared" si="75"/>
        <v>2042.6594000000002</v>
      </c>
      <c r="AF148" s="147">
        <f t="shared" si="75"/>
        <v>1950.9993999999997</v>
      </c>
      <c r="AG148" s="147">
        <f t="shared" si="75"/>
        <v>1815.1993999999997</v>
      </c>
      <c r="AH148" s="147">
        <f t="shared" si="75"/>
        <v>1694.5</v>
      </c>
      <c r="AI148" s="147">
        <f t="shared" si="75"/>
        <v>1558.7</v>
      </c>
    </row>
    <row r="149" spans="1:35" x14ac:dyDescent="0.25">
      <c r="A149" s="11" t="s">
        <v>96</v>
      </c>
      <c r="B149" s="44"/>
      <c r="C149" s="49"/>
      <c r="D149" s="147"/>
      <c r="E149" s="145"/>
      <c r="F149" s="145"/>
      <c r="G149" s="146"/>
      <c r="H149" s="147">
        <f t="shared" ref="H149:AI149" si="76">SUM(SUM(H$91,H$94)*1.02,MIN(H$96*1.02,H$98))</f>
        <v>2035.5630000000001</v>
      </c>
      <c r="I149" s="147">
        <f t="shared" si="76"/>
        <v>1868.5630000000001</v>
      </c>
      <c r="J149" s="147">
        <f t="shared" si="76"/>
        <v>1925.454</v>
      </c>
      <c r="K149" s="147">
        <f t="shared" si="76"/>
        <v>1758.454</v>
      </c>
      <c r="L149" s="147">
        <f t="shared" si="76"/>
        <v>1841.355</v>
      </c>
      <c r="M149" s="147">
        <f t="shared" si="76"/>
        <v>1674.355</v>
      </c>
      <c r="N149" s="147">
        <f t="shared" si="76"/>
        <v>1971.1602</v>
      </c>
      <c r="O149" s="147">
        <f t="shared" si="76"/>
        <v>1804.1602</v>
      </c>
      <c r="P149" s="147">
        <f t="shared" si="76"/>
        <v>2038.8678</v>
      </c>
      <c r="Q149" s="147">
        <f t="shared" si="76"/>
        <v>1871.8678</v>
      </c>
      <c r="R149" s="147">
        <f t="shared" si="76"/>
        <v>1824.0456000000001</v>
      </c>
      <c r="S149" s="147">
        <f t="shared" si="76"/>
        <v>1657.0456000000001</v>
      </c>
      <c r="T149" s="147">
        <f t="shared" si="76"/>
        <v>1663.1100000000001</v>
      </c>
      <c r="U149" s="147">
        <f t="shared" si="76"/>
        <v>1496.1100000000001</v>
      </c>
      <c r="V149" s="147">
        <f t="shared" si="76"/>
        <v>2066.953</v>
      </c>
      <c r="W149" s="147">
        <f t="shared" si="76"/>
        <v>1931.153</v>
      </c>
      <c r="X149" s="147">
        <f t="shared" si="76"/>
        <v>1956.8439999999998</v>
      </c>
      <c r="Y149" s="147">
        <f t="shared" si="76"/>
        <v>1821.0439999999999</v>
      </c>
      <c r="Z149" s="147">
        <f t="shared" si="76"/>
        <v>1872.7449999999999</v>
      </c>
      <c r="AA149" s="147">
        <f t="shared" si="76"/>
        <v>1736.9449999999999</v>
      </c>
      <c r="AB149" s="147">
        <f t="shared" si="76"/>
        <v>2002.5501999999999</v>
      </c>
      <c r="AC149" s="147">
        <f t="shared" si="76"/>
        <v>1866.7501999999999</v>
      </c>
      <c r="AD149" s="147">
        <f t="shared" si="76"/>
        <v>2070.2577999999999</v>
      </c>
      <c r="AE149" s="147">
        <f t="shared" si="76"/>
        <v>1934.4577999999999</v>
      </c>
      <c r="AF149" s="147">
        <f t="shared" si="76"/>
        <v>1855.4356</v>
      </c>
      <c r="AG149" s="147">
        <f t="shared" si="76"/>
        <v>1719.6356000000001</v>
      </c>
      <c r="AH149" s="147">
        <f t="shared" si="76"/>
        <v>1694.5</v>
      </c>
      <c r="AI149" s="147">
        <f t="shared" si="76"/>
        <v>1558.7</v>
      </c>
    </row>
    <row r="150" spans="1:35" x14ac:dyDescent="0.25">
      <c r="A150" s="11" t="s">
        <v>97</v>
      </c>
      <c r="B150" s="44"/>
      <c r="C150" s="49"/>
      <c r="D150" s="147"/>
      <c r="E150" s="145"/>
      <c r="F150" s="145"/>
      <c r="G150" s="146"/>
      <c r="H150" s="147">
        <f t="shared" ref="H150:AI150" si="77">SUM(H$94*1.02,MIN(SUM(H$95:H$96)*1.02,H$98*2))</f>
        <v>1154.8848</v>
      </c>
      <c r="I150" s="147">
        <f t="shared" si="77"/>
        <v>820.88480000000004</v>
      </c>
      <c r="J150" s="147">
        <f t="shared" si="77"/>
        <v>1109.5457999999999</v>
      </c>
      <c r="K150" s="147">
        <f t="shared" si="77"/>
        <v>775.54579999999987</v>
      </c>
      <c r="L150" s="147">
        <f t="shared" si="77"/>
        <v>1074.9168</v>
      </c>
      <c r="M150" s="147">
        <f t="shared" si="77"/>
        <v>740.91679999999997</v>
      </c>
      <c r="N150" s="147">
        <f t="shared" si="77"/>
        <v>1128.3648000000001</v>
      </c>
      <c r="O150" s="147">
        <f t="shared" si="77"/>
        <v>794.36480000000006</v>
      </c>
      <c r="P150" s="147">
        <f t="shared" si="77"/>
        <v>1156.2414000000001</v>
      </c>
      <c r="Q150" s="147">
        <f t="shared" si="77"/>
        <v>822.24140000000011</v>
      </c>
      <c r="R150" s="147">
        <f t="shared" si="77"/>
        <v>1067.787</v>
      </c>
      <c r="S150" s="147">
        <f t="shared" si="77"/>
        <v>733.78700000000003</v>
      </c>
      <c r="T150" s="147">
        <f t="shared" si="77"/>
        <v>1001.5175999999999</v>
      </c>
      <c r="U150" s="147">
        <f t="shared" si="77"/>
        <v>667.5175999999999</v>
      </c>
      <c r="V150" s="147">
        <f t="shared" si="77"/>
        <v>1217.6648</v>
      </c>
      <c r="W150" s="147">
        <f t="shared" si="77"/>
        <v>946.06479999999999</v>
      </c>
      <c r="X150" s="147">
        <f t="shared" si="77"/>
        <v>1172.3258000000001</v>
      </c>
      <c r="Y150" s="147">
        <f t="shared" si="77"/>
        <v>900.72579999999994</v>
      </c>
      <c r="Z150" s="147">
        <f t="shared" si="77"/>
        <v>1137.6968000000002</v>
      </c>
      <c r="AA150" s="147">
        <f t="shared" si="77"/>
        <v>866.09680000000003</v>
      </c>
      <c r="AB150" s="147">
        <f t="shared" si="77"/>
        <v>1191.1448</v>
      </c>
      <c r="AC150" s="147">
        <f t="shared" si="77"/>
        <v>919.54480000000001</v>
      </c>
      <c r="AD150" s="147">
        <f t="shared" si="77"/>
        <v>1219.0214000000001</v>
      </c>
      <c r="AE150" s="147">
        <f t="shared" si="77"/>
        <v>947.42140000000006</v>
      </c>
      <c r="AF150" s="147">
        <f t="shared" si="77"/>
        <v>1130.567</v>
      </c>
      <c r="AG150" s="147">
        <f t="shared" si="77"/>
        <v>858.96699999999998</v>
      </c>
      <c r="AH150" s="147">
        <f t="shared" si="77"/>
        <v>1064.2975999999999</v>
      </c>
      <c r="AI150" s="147">
        <f t="shared" si="77"/>
        <v>792.69759999999997</v>
      </c>
    </row>
    <row r="151" spans="1:35" x14ac:dyDescent="0.25">
      <c r="A151" s="12"/>
      <c r="B151" s="44"/>
      <c r="C151" s="49"/>
      <c r="D151" s="147"/>
      <c r="E151" s="145"/>
      <c r="F151" s="145"/>
      <c r="G151" s="146"/>
      <c r="H151" s="147" t="s">
        <v>117</v>
      </c>
      <c r="I151" s="147" t="s">
        <v>117</v>
      </c>
      <c r="J151" s="147" t="s">
        <v>117</v>
      </c>
      <c r="K151" s="147" t="s">
        <v>117</v>
      </c>
      <c r="L151" s="147" t="s">
        <v>117</v>
      </c>
      <c r="M151" s="147" t="s">
        <v>117</v>
      </c>
      <c r="N151" s="147" t="s">
        <v>117</v>
      </c>
      <c r="O151" s="147" t="s">
        <v>117</v>
      </c>
      <c r="P151" s="147" t="s">
        <v>117</v>
      </c>
      <c r="Q151" s="147" t="s">
        <v>117</v>
      </c>
      <c r="R151" s="147" t="s">
        <v>117</v>
      </c>
      <c r="S151" s="147" t="s">
        <v>117</v>
      </c>
      <c r="T151" s="147" t="s">
        <v>117</v>
      </c>
      <c r="U151" s="147" t="s">
        <v>117</v>
      </c>
      <c r="V151" s="147" t="s">
        <v>117</v>
      </c>
      <c r="W151" s="147" t="s">
        <v>117</v>
      </c>
      <c r="X151" s="147" t="s">
        <v>117</v>
      </c>
      <c r="Y151" s="147" t="s">
        <v>117</v>
      </c>
      <c r="Z151" s="147" t="s">
        <v>117</v>
      </c>
      <c r="AA151" s="147" t="s">
        <v>117</v>
      </c>
      <c r="AB151" s="147" t="s">
        <v>117</v>
      </c>
      <c r="AC151" s="147" t="s">
        <v>117</v>
      </c>
      <c r="AD151" s="147" t="s">
        <v>117</v>
      </c>
      <c r="AE151" s="147" t="s">
        <v>117</v>
      </c>
      <c r="AF151" s="147" t="s">
        <v>117</v>
      </c>
      <c r="AG151" s="147" t="s">
        <v>117</v>
      </c>
      <c r="AH151" s="147" t="s">
        <v>117</v>
      </c>
      <c r="AI151" s="147" t="s">
        <v>117</v>
      </c>
    </row>
    <row r="152" spans="1:35" x14ac:dyDescent="0.25">
      <c r="A152" s="38" t="s">
        <v>84</v>
      </c>
      <c r="B152" s="43"/>
      <c r="C152" s="48"/>
      <c r="D152" s="147"/>
      <c r="E152" s="145"/>
      <c r="F152" s="145"/>
      <c r="G152" s="146"/>
      <c r="H152" s="147" t="s">
        <v>117</v>
      </c>
      <c r="I152" s="147" t="s">
        <v>117</v>
      </c>
      <c r="J152" s="147" t="s">
        <v>117</v>
      </c>
      <c r="K152" s="147" t="s">
        <v>117</v>
      </c>
      <c r="L152" s="147" t="s">
        <v>117</v>
      </c>
      <c r="M152" s="147" t="s">
        <v>117</v>
      </c>
      <c r="N152" s="147" t="s">
        <v>117</v>
      </c>
      <c r="O152" s="147" t="s">
        <v>117</v>
      </c>
      <c r="P152" s="147" t="s">
        <v>117</v>
      </c>
      <c r="Q152" s="147" t="s">
        <v>117</v>
      </c>
      <c r="R152" s="147" t="s">
        <v>117</v>
      </c>
      <c r="S152" s="147" t="s">
        <v>117</v>
      </c>
      <c r="T152" s="147" t="s">
        <v>117</v>
      </c>
      <c r="U152" s="147" t="s">
        <v>117</v>
      </c>
      <c r="V152" s="147" t="s">
        <v>117</v>
      </c>
      <c r="W152" s="147" t="s">
        <v>117</v>
      </c>
      <c r="X152" s="147" t="s">
        <v>117</v>
      </c>
      <c r="Y152" s="147" t="s">
        <v>117</v>
      </c>
      <c r="Z152" s="147" t="s">
        <v>117</v>
      </c>
      <c r="AA152" s="147" t="s">
        <v>117</v>
      </c>
      <c r="AB152" s="147" t="s">
        <v>117</v>
      </c>
      <c r="AC152" s="147" t="s">
        <v>117</v>
      </c>
      <c r="AD152" s="147" t="s">
        <v>117</v>
      </c>
      <c r="AE152" s="147" t="s">
        <v>117</v>
      </c>
      <c r="AF152" s="147" t="s">
        <v>117</v>
      </c>
      <c r="AG152" s="147" t="s">
        <v>117</v>
      </c>
      <c r="AH152" s="147" t="s">
        <v>117</v>
      </c>
      <c r="AI152" s="147" t="s">
        <v>117</v>
      </c>
    </row>
    <row r="153" spans="1:35" x14ac:dyDescent="0.25">
      <c r="A153" s="11" t="s">
        <v>98</v>
      </c>
      <c r="B153" s="7"/>
      <c r="C153" s="10"/>
      <c r="D153" s="147"/>
      <c r="E153" s="145"/>
      <c r="F153" s="145"/>
      <c r="G153" s="146"/>
      <c r="H153" s="147">
        <f t="shared" ref="H153:AI153" si="78">SUM(H$92*1.02,MIN(SUM(H$95:H$96)*1.02,H$98*2))</f>
        <v>1586.9159999999999</v>
      </c>
      <c r="I153" s="147">
        <f t="shared" si="78"/>
        <v>1252.9159999999999</v>
      </c>
      <c r="J153" s="147">
        <f t="shared" si="78"/>
        <v>1515.6690000000001</v>
      </c>
      <c r="K153" s="147">
        <f t="shared" si="78"/>
        <v>1181.6690000000001</v>
      </c>
      <c r="L153" s="147">
        <f t="shared" si="78"/>
        <v>1461.252</v>
      </c>
      <c r="M153" s="147">
        <f t="shared" si="78"/>
        <v>1127.252</v>
      </c>
      <c r="N153" s="147">
        <f t="shared" si="78"/>
        <v>1545.249</v>
      </c>
      <c r="O153" s="147">
        <f t="shared" si="78"/>
        <v>1211.249</v>
      </c>
      <c r="P153" s="147">
        <f t="shared" si="78"/>
        <v>1589.058</v>
      </c>
      <c r="Q153" s="147">
        <f t="shared" si="78"/>
        <v>1255.058</v>
      </c>
      <c r="R153" s="147">
        <f t="shared" si="78"/>
        <v>1450.0523999999998</v>
      </c>
      <c r="S153" s="147">
        <f t="shared" si="78"/>
        <v>1116.0523999999998</v>
      </c>
      <c r="T153" s="147">
        <f t="shared" si="78"/>
        <v>1259.8224</v>
      </c>
      <c r="U153" s="147">
        <f t="shared" si="78"/>
        <v>925.82240000000002</v>
      </c>
      <c r="V153" s="147">
        <f t="shared" si="78"/>
        <v>1649.6959999999999</v>
      </c>
      <c r="W153" s="147">
        <f t="shared" si="78"/>
        <v>1378.096</v>
      </c>
      <c r="X153" s="147">
        <f t="shared" si="78"/>
        <v>1578.4490000000001</v>
      </c>
      <c r="Y153" s="147">
        <f t="shared" si="78"/>
        <v>1306.8490000000002</v>
      </c>
      <c r="Z153" s="147">
        <f t="shared" si="78"/>
        <v>1524.0320000000002</v>
      </c>
      <c r="AA153" s="147">
        <f t="shared" si="78"/>
        <v>1252.432</v>
      </c>
      <c r="AB153" s="147">
        <f t="shared" si="78"/>
        <v>1608.029</v>
      </c>
      <c r="AC153" s="147">
        <f t="shared" si="78"/>
        <v>1336.4290000000001</v>
      </c>
      <c r="AD153" s="147">
        <f t="shared" si="78"/>
        <v>1651.8380000000002</v>
      </c>
      <c r="AE153" s="147">
        <f t="shared" si="78"/>
        <v>1380.2380000000001</v>
      </c>
      <c r="AF153" s="147">
        <f t="shared" si="78"/>
        <v>1512.8323999999998</v>
      </c>
      <c r="AG153" s="147">
        <f t="shared" si="78"/>
        <v>1241.2323999999999</v>
      </c>
      <c r="AH153" s="147">
        <f t="shared" si="78"/>
        <v>1322.6024</v>
      </c>
      <c r="AI153" s="147">
        <f t="shared" si="78"/>
        <v>1051.0023999999999</v>
      </c>
    </row>
    <row r="154" spans="1:35" x14ac:dyDescent="0.25">
      <c r="A154" s="11" t="s">
        <v>99</v>
      </c>
      <c r="B154" s="7"/>
      <c r="C154" s="10"/>
      <c r="D154" s="147"/>
      <c r="E154" s="145"/>
      <c r="F154" s="145"/>
      <c r="G154" s="146"/>
      <c r="H154" s="147">
        <f t="shared" ref="H154:AI154" si="79">SUM(H$91*1.02,MIN(H$96*1.02,H$98)*2)</f>
        <v>1478.9082000000001</v>
      </c>
      <c r="I154" s="147">
        <f t="shared" si="79"/>
        <v>1144.9082000000001</v>
      </c>
      <c r="J154" s="147">
        <f t="shared" si="79"/>
        <v>1414.1381999999999</v>
      </c>
      <c r="K154" s="147">
        <f t="shared" si="79"/>
        <v>1080.1381999999999</v>
      </c>
      <c r="L154" s="147">
        <f t="shared" si="79"/>
        <v>1364.6682000000001</v>
      </c>
      <c r="M154" s="147">
        <f t="shared" si="79"/>
        <v>1030.6682000000001</v>
      </c>
      <c r="N154" s="147">
        <f t="shared" si="79"/>
        <v>1441.0254</v>
      </c>
      <c r="O154" s="147">
        <f t="shared" si="79"/>
        <v>1107.0254</v>
      </c>
      <c r="P154" s="147">
        <f t="shared" si="79"/>
        <v>1480.8563999999999</v>
      </c>
      <c r="Q154" s="147">
        <f t="shared" si="79"/>
        <v>1146.8563999999999</v>
      </c>
      <c r="R154" s="147">
        <f t="shared" si="79"/>
        <v>1354.4885999999999</v>
      </c>
      <c r="S154" s="147">
        <f t="shared" si="79"/>
        <v>1020.4885999999999</v>
      </c>
      <c r="T154" s="147">
        <f t="shared" si="79"/>
        <v>1259.8224</v>
      </c>
      <c r="U154" s="147">
        <f t="shared" si="79"/>
        <v>925.82240000000002</v>
      </c>
      <c r="V154" s="147">
        <f t="shared" si="79"/>
        <v>1541.6882000000001</v>
      </c>
      <c r="W154" s="147">
        <f t="shared" si="79"/>
        <v>1270.0882000000001</v>
      </c>
      <c r="X154" s="147">
        <f t="shared" si="79"/>
        <v>1476.9182000000001</v>
      </c>
      <c r="Y154" s="147">
        <f t="shared" si="79"/>
        <v>1205.3181999999999</v>
      </c>
      <c r="Z154" s="147">
        <f t="shared" si="79"/>
        <v>1427.4482</v>
      </c>
      <c r="AA154" s="147">
        <f t="shared" si="79"/>
        <v>1155.8481999999999</v>
      </c>
      <c r="AB154" s="147">
        <f t="shared" si="79"/>
        <v>1503.8054000000002</v>
      </c>
      <c r="AC154" s="147">
        <f t="shared" si="79"/>
        <v>1232.2054000000001</v>
      </c>
      <c r="AD154" s="147">
        <f t="shared" si="79"/>
        <v>1543.6363999999999</v>
      </c>
      <c r="AE154" s="147">
        <f t="shared" si="79"/>
        <v>1272.0364</v>
      </c>
      <c r="AF154" s="147">
        <f t="shared" si="79"/>
        <v>1417.2685999999999</v>
      </c>
      <c r="AG154" s="147">
        <f t="shared" si="79"/>
        <v>1145.6686</v>
      </c>
      <c r="AH154" s="147">
        <f t="shared" si="79"/>
        <v>1322.6024</v>
      </c>
      <c r="AI154" s="147">
        <f t="shared" si="79"/>
        <v>1051.0023999999999</v>
      </c>
    </row>
    <row r="155" spans="1:35" x14ac:dyDescent="0.25">
      <c r="A155" s="11" t="s">
        <v>100</v>
      </c>
      <c r="B155" s="7"/>
      <c r="C155" s="10"/>
      <c r="D155" s="147">
        <f>MIN(SUM(D$95,D$96*2)*1.02,D$98*3)</f>
        <v>598.23</v>
      </c>
      <c r="E155" s="145">
        <f>MIN(SUM(E$95,E$96*2)*1.02,E$98*3)</f>
        <v>97.22999999999999</v>
      </c>
      <c r="F155" s="145">
        <f>MIN(SUM(F$95,F$96*2)*1.02,F$98*3)</f>
        <v>692.40000000000009</v>
      </c>
      <c r="G155" s="146">
        <f>MIN(SUM(G$95,G$96*2)*1.02,G$98*3)</f>
        <v>285</v>
      </c>
      <c r="H155" s="147" t="s">
        <v>117</v>
      </c>
      <c r="I155" s="147" t="s">
        <v>117</v>
      </c>
      <c r="J155" s="147" t="s">
        <v>117</v>
      </c>
      <c r="K155" s="147" t="s">
        <v>117</v>
      </c>
      <c r="L155" s="147" t="s">
        <v>117</v>
      </c>
      <c r="M155" s="147" t="s">
        <v>117</v>
      </c>
      <c r="N155" s="147" t="s">
        <v>117</v>
      </c>
      <c r="O155" s="147" t="s">
        <v>117</v>
      </c>
      <c r="P155" s="147" t="s">
        <v>117</v>
      </c>
      <c r="Q155" s="147" t="s">
        <v>117</v>
      </c>
      <c r="R155" s="147" t="s">
        <v>117</v>
      </c>
      <c r="S155" s="147" t="s">
        <v>117</v>
      </c>
      <c r="T155" s="147" t="s">
        <v>117</v>
      </c>
      <c r="U155" s="147" t="s">
        <v>117</v>
      </c>
      <c r="V155" s="147" t="s">
        <v>117</v>
      </c>
      <c r="W155" s="147" t="s">
        <v>117</v>
      </c>
      <c r="X155" s="147" t="s">
        <v>117</v>
      </c>
      <c r="Y155" s="147" t="s">
        <v>117</v>
      </c>
      <c r="Z155" s="147" t="s">
        <v>117</v>
      </c>
      <c r="AA155" s="147" t="s">
        <v>117</v>
      </c>
      <c r="AB155" s="147" t="s">
        <v>117</v>
      </c>
      <c r="AC155" s="147" t="s">
        <v>117</v>
      </c>
      <c r="AD155" s="147" t="s">
        <v>117</v>
      </c>
      <c r="AE155" s="147" t="s">
        <v>117</v>
      </c>
      <c r="AF155" s="147" t="s">
        <v>117</v>
      </c>
      <c r="AG155" s="147" t="s">
        <v>117</v>
      </c>
      <c r="AH155" s="147" t="s">
        <v>117</v>
      </c>
      <c r="AI155" s="147" t="s">
        <v>117</v>
      </c>
    </row>
    <row r="156" spans="1:35" ht="13.8" thickBot="1" x14ac:dyDescent="0.3">
      <c r="A156" s="13" t="s">
        <v>101</v>
      </c>
      <c r="B156" s="45"/>
      <c r="C156" s="29"/>
      <c r="D156" s="150"/>
      <c r="E156" s="148"/>
      <c r="F156" s="148"/>
      <c r="G156" s="149"/>
      <c r="H156" s="150">
        <f t="shared" ref="H156:AI156" si="80">SUM(SUM(H$91,H$93)*1.02,MIN(H$96*1.02,H$98))</f>
        <v>2467.5942</v>
      </c>
      <c r="I156" s="150">
        <f t="shared" si="80"/>
        <v>2300.5942</v>
      </c>
      <c r="J156" s="150">
        <f t="shared" si="80"/>
        <v>2331.5772000000002</v>
      </c>
      <c r="K156" s="150">
        <f t="shared" si="80"/>
        <v>2164.5772000000002</v>
      </c>
      <c r="L156" s="150">
        <f t="shared" si="80"/>
        <v>2227.6901999999995</v>
      </c>
      <c r="M156" s="150">
        <f t="shared" si="80"/>
        <v>2060.6901999999995</v>
      </c>
      <c r="N156" s="150">
        <f t="shared" si="80"/>
        <v>2388.0444000000002</v>
      </c>
      <c r="O156" s="150">
        <f t="shared" si="80"/>
        <v>2221.0444000000002</v>
      </c>
      <c r="P156" s="150">
        <f t="shared" si="80"/>
        <v>2471.6844000000001</v>
      </c>
      <c r="Q156" s="150">
        <f t="shared" si="80"/>
        <v>2304.6844000000001</v>
      </c>
      <c r="R156" s="150">
        <f t="shared" si="80"/>
        <v>2206.3109999999997</v>
      </c>
      <c r="S156" s="150">
        <f t="shared" si="80"/>
        <v>2039.3109999999999</v>
      </c>
      <c r="T156" s="150">
        <f t="shared" si="80"/>
        <v>2007.5130000000001</v>
      </c>
      <c r="U156" s="150">
        <f t="shared" si="80"/>
        <v>1840.5130000000001</v>
      </c>
      <c r="V156" s="150">
        <f t="shared" si="80"/>
        <v>2498.9842000000003</v>
      </c>
      <c r="W156" s="150">
        <f t="shared" si="80"/>
        <v>2363.1842000000001</v>
      </c>
      <c r="X156" s="150">
        <f t="shared" si="80"/>
        <v>2362.9672000000005</v>
      </c>
      <c r="Y156" s="150">
        <f t="shared" si="80"/>
        <v>2227.1672000000003</v>
      </c>
      <c r="Z156" s="150">
        <f t="shared" si="80"/>
        <v>2259.0801999999999</v>
      </c>
      <c r="AA156" s="150">
        <f t="shared" si="80"/>
        <v>2123.2801999999997</v>
      </c>
      <c r="AB156" s="150">
        <f t="shared" si="80"/>
        <v>2419.4344000000006</v>
      </c>
      <c r="AC156" s="150">
        <f t="shared" si="80"/>
        <v>2283.6344000000004</v>
      </c>
      <c r="AD156" s="150">
        <f t="shared" si="80"/>
        <v>2503.0744000000004</v>
      </c>
      <c r="AE156" s="150">
        <f t="shared" si="80"/>
        <v>2367.2744000000002</v>
      </c>
      <c r="AF156" s="150">
        <f t="shared" si="80"/>
        <v>2237.701</v>
      </c>
      <c r="AG156" s="150">
        <f t="shared" si="80"/>
        <v>2101.9009999999998</v>
      </c>
      <c r="AH156" s="150">
        <f t="shared" si="80"/>
        <v>2038.903</v>
      </c>
      <c r="AI156" s="150">
        <f t="shared" si="80"/>
        <v>1903.1030000000001</v>
      </c>
    </row>
    <row r="158" spans="1:35" x14ac:dyDescent="0.25">
      <c r="D158" s="63"/>
    </row>
  </sheetData>
  <sheetProtection algorithmName="SHA-512" hashValue="MHzDMQmrwSavm8PCUWBsiMGbQV5rdPtWRMLUdrJxuCdRNaqdUw9ZHsQUmFA8r0cV3/pBYAHnVmIitmqtswjeAQ==" saltValue="pJA5dCwKNdbgXVZ6iTf9Ow==" spinCount="100000" sheet="1" objects="1" scenarios="1"/>
  <mergeCells count="7">
    <mergeCell ref="D130:E130"/>
    <mergeCell ref="F130:G130"/>
    <mergeCell ref="D101:E101"/>
    <mergeCell ref="F101:G101"/>
    <mergeCell ref="C3:J3"/>
    <mergeCell ref="C4:F4"/>
    <mergeCell ref="G4:J4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Exh-Subsidy MA </vt:lpstr>
      <vt:lpstr>cal</vt:lpstr>
      <vt:lpstr>'Exh-Subsidy MA '!Print_Area</vt:lpstr>
      <vt:lpstr>'Exh-Subsidy MA '!Print_Titles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kdeng</dc:creator>
  <cp:keywords>PRRecord:2017 Retiree Rate Calculator_w full YOS Schedule.xlsx_20170131160902</cp:keywords>
  <cp:lastModifiedBy>Cao, Julie</cp:lastModifiedBy>
  <cp:lastPrinted>2018-08-24T13:16:53Z</cp:lastPrinted>
  <dcterms:created xsi:type="dcterms:W3CDTF">2011-09-08T15:34:29Z</dcterms:created>
  <dcterms:modified xsi:type="dcterms:W3CDTF">2024-08-19T18:21:07Z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5a75ce02-c4a6-4273-bbfc-4381b1b04201</vt:lpwstr>
  </property>
  <property fmtid="{D5CDD505-2E9C-101B-9397-08002B2CF9AE}" pid="3" name="AonClassification">
    <vt:lpwstr>ADC_class_200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2024-07-27T01:30:52Z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43b410cf-2728-438c-aa14-12c2f8d662c1</vt:lpwstr>
  </property>
  <property fmtid="{D5CDD505-2E9C-101B-9397-08002B2CF9AE}" pid="10" name="MSIP_Label_9043f10a-881e-4653-a55e-02ca2cc829dc_ContentBits">
    <vt:lpwstr>0</vt:lpwstr>
  </property>
</Properties>
</file>